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10" windowWidth="8385" windowHeight="5085" tabRatio="981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1">'2'!$8:$9</definedName>
    <definedName name="_xlnm.Print_Area" localSheetId="0">'1'!$A$1:$D$21</definedName>
    <definedName name="_xlnm.Print_Area" localSheetId="1">'2'!$A$1:$F$92</definedName>
    <definedName name="_xlnm.Print_Area" localSheetId="2">'3'!$A$1:$L$597</definedName>
    <definedName name="_xlnm.Print_Area" localSheetId="3">'4'!$A$1:$I$622</definedName>
  </definedNames>
  <calcPr fullCalcOnLoad="1"/>
</workbook>
</file>

<file path=xl/sharedStrings.xml><?xml version="1.0" encoding="utf-8"?>
<sst xmlns="http://schemas.openxmlformats.org/spreadsheetml/2006/main" count="6523" uniqueCount="688">
  <si>
    <t>01 05 0201 05 0000 510</t>
  </si>
  <si>
    <t>Увеличение прочих остатков денежных средств районного бюджета</t>
  </si>
  <si>
    <t>01 05 0201 05 0000 610</t>
  </si>
  <si>
    <t>Уменьшение прочих остатков денежных средств районного бюджета</t>
  </si>
  <si>
    <t>1 11 05013 05 0000 120</t>
  </si>
  <si>
    <t>Другие вопросы в области культуры, кинематографии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</si>
  <si>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</si>
  <si>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9900000000</t>
  </si>
  <si>
    <t>9990000000</t>
  </si>
  <si>
    <t>9990010010</t>
  </si>
  <si>
    <t>9990010020</t>
  </si>
  <si>
    <t>9990010030</t>
  </si>
  <si>
    <t>9990010040</t>
  </si>
  <si>
    <t>9990093100</t>
  </si>
  <si>
    <t>9990093010</t>
  </si>
  <si>
    <t>9990093030</t>
  </si>
  <si>
    <t>Осуществление переданных органам государственной власти субъектов РФ в соответствии с п.1 ст.4 ФЗ от 15.11.1997 г. № 143-ФЗ "Об актах гражданского состояния" полномочий РФ по государственной регистрации актов гражданского состояния</t>
  </si>
  <si>
    <t>9990010050</t>
  </si>
  <si>
    <t>9990010060</t>
  </si>
  <si>
    <t>9990010070</t>
  </si>
  <si>
    <t>9990010101</t>
  </si>
  <si>
    <t>9990010102</t>
  </si>
  <si>
    <t>9990010103</t>
  </si>
  <si>
    <t>9990093120</t>
  </si>
  <si>
    <t>0800000000</t>
  </si>
  <si>
    <t>0100000000</t>
  </si>
  <si>
    <t>0180000000</t>
  </si>
  <si>
    <t>Подпрограмма № 8 «Молодежь Кировского района"</t>
  </si>
  <si>
    <t>0180020040</t>
  </si>
  <si>
    <t>0180020041</t>
  </si>
  <si>
    <t>Подпрограмма № 9 "Предупреждение развития наркомании в районе"</t>
  </si>
  <si>
    <t>0190000000</t>
  </si>
  <si>
    <t>0300000000</t>
  </si>
  <si>
    <t>0300030360</t>
  </si>
  <si>
    <t>0300030362</t>
  </si>
  <si>
    <t>0700000000</t>
  </si>
  <si>
    <t>9990093040</t>
  </si>
  <si>
    <t>Возмещение затрат или недополученных доходов от предоставления транспортных услуг населению в границах Кировского  муниципального района</t>
  </si>
  <si>
    <t>0120000000</t>
  </si>
  <si>
    <t>0120020041</t>
  </si>
  <si>
    <t>0120020040</t>
  </si>
  <si>
    <t>0120020042</t>
  </si>
  <si>
    <t>0120093070</t>
  </si>
  <si>
    <t>0110000000</t>
  </si>
  <si>
    <t>0110020040</t>
  </si>
  <si>
    <t>0110020041</t>
  </si>
  <si>
    <t>0110020042</t>
  </si>
  <si>
    <t>0130000000</t>
  </si>
  <si>
    <t>0130020040</t>
  </si>
  <si>
    <t>0130020041</t>
  </si>
  <si>
    <t>0130020042</t>
  </si>
  <si>
    <t>0140000000</t>
  </si>
  <si>
    <t>0140020040</t>
  </si>
  <si>
    <t>0140020041</t>
  </si>
  <si>
    <t>0140020042</t>
  </si>
  <si>
    <t>0140020043</t>
  </si>
  <si>
    <t>0140020044</t>
  </si>
  <si>
    <t>0110093060</t>
  </si>
  <si>
    <t>0150000000</t>
  </si>
  <si>
    <t>0150020040</t>
  </si>
  <si>
    <t>0160000000</t>
  </si>
  <si>
    <t>0160093080</t>
  </si>
  <si>
    <t>0170000000</t>
  </si>
  <si>
    <t>0170020040</t>
  </si>
  <si>
    <t>Расходы на обеспечение деятельности (оказание услуг, выполнение работ) централизованных бухгалтерий</t>
  </si>
  <si>
    <t>0200000000</t>
  </si>
  <si>
    <t>0200020260</t>
  </si>
  <si>
    <t>0200020261</t>
  </si>
  <si>
    <t>0200020262</t>
  </si>
  <si>
    <t>0300030361</t>
  </si>
  <si>
    <t>0600000000</t>
  </si>
  <si>
    <t>0610000000</t>
  </si>
  <si>
    <t>0610020140</t>
  </si>
  <si>
    <t>0610020141</t>
  </si>
  <si>
    <t>0620020140</t>
  </si>
  <si>
    <t>0630020140</t>
  </si>
  <si>
    <t>0640020140</t>
  </si>
  <si>
    <t>Подпрограмма   № 8 "Молодежь Кировского района"</t>
  </si>
  <si>
    <t>0180020042</t>
  </si>
  <si>
    <t>0200020263</t>
  </si>
  <si>
    <t>9990010104</t>
  </si>
  <si>
    <t>0500000000</t>
  </si>
  <si>
    <t>0500050560</t>
  </si>
  <si>
    <t>Подпрограмма   № 2 "Развитие дошкольных образовательных учреждений"</t>
  </si>
  <si>
    <t>0120093090</t>
  </si>
  <si>
    <t>0400000000</t>
  </si>
  <si>
    <t>0400040460</t>
  </si>
  <si>
    <t>9990010106</t>
  </si>
  <si>
    <t>0610020142</t>
  </si>
  <si>
    <t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досуга и обеспечения услугами культуры)</t>
  </si>
  <si>
    <t>0800020140</t>
  </si>
  <si>
    <t>060000000</t>
  </si>
  <si>
    <t>620</t>
  </si>
  <si>
    <t>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</si>
  <si>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(МБУ ДОД "ДЮЦ")</t>
  </si>
  <si>
    <t>Субсидии бюджетным учреждениям (МБУ ВПЦ "Патриот")</t>
  </si>
  <si>
    <t>022933040</t>
  </si>
  <si>
    <t>Муниципальная программа «Устойчивое развитие сельских территорий на 2014-2017 гг. и на период до 2020 года»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</si>
  <si>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</si>
  <si>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бюджетным учреждениям образования</t>
  </si>
  <si>
    <t>за счет средств местного бюджета</t>
  </si>
  <si>
    <t>подразделам, целевым статьям и видам расходов в соответствии с классификацией расходов</t>
  </si>
  <si>
    <t>(тыс. руб.)</t>
  </si>
  <si>
    <t>Код бюджетной классификации Российской Федерации</t>
  </si>
  <si>
    <t>Учреждение: Контрольно-счетная комиссия Кировского муниципального района</t>
  </si>
  <si>
    <t>Итого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</si>
  <si>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</si>
  <si>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</si>
  <si>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Раз-дел</t>
  </si>
  <si>
    <t>Под-раз-дел</t>
  </si>
  <si>
    <t>Вид рас-хо-дов</t>
  </si>
  <si>
    <t>ОБЩЕГОСУДАРСТВЕННЫЕ ВОПРОСЫ</t>
  </si>
  <si>
    <t>01</t>
  </si>
  <si>
    <t>00</t>
  </si>
  <si>
    <t>02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</si>
  <si>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</si>
  <si>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</si>
  <si>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</si>
  <si>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</si>
  <si>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</si>
  <si>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</si>
  <si>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200</t>
  </si>
  <si>
    <t>300</t>
  </si>
  <si>
    <t>04</t>
  </si>
  <si>
    <t>110</t>
  </si>
  <si>
    <t>06</t>
  </si>
  <si>
    <t>Непрограммные направления деятельности органов местного самоуправления ( КСК)</t>
  </si>
  <si>
    <t>Руководство и управление в сфере установленных функций органов местного самоуправления (КСК)</t>
  </si>
  <si>
    <t>Председатель контрольно-счетной комиссии</t>
  </si>
  <si>
    <t>Резервные фонды</t>
  </si>
  <si>
    <t>11</t>
  </si>
  <si>
    <t>Резервный фонд Администрации Кировского муниципального района</t>
  </si>
  <si>
    <t>13</t>
  </si>
  <si>
    <t>Субвенции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</si>
  <si>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</si>
  <si>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</si>
  <si>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 xml:space="preserve">Общее образование </t>
  </si>
  <si>
    <t>1 11 05035 05 0000 120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</si>
  <si>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</si>
  <si>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</si>
  <si>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Дотации бюджетам муниципальных районов на выравнивание бюджетной обеспеченности</t>
  </si>
  <si>
    <t>Иные межбюджетные трансферты за счет средств федерального бюджета на финансирование мероприятий по организации временного социально- бытового обустройства лиц, вынужденно покинувших территорию Украины и находящихся в пунктах временного размещения</t>
  </si>
  <si>
    <t xml:space="preserve">Субсидии бюджетным учреждениям </t>
  </si>
  <si>
    <t>951</t>
  </si>
  <si>
    <t>Председатель Думы Кировского муниципального района</t>
  </si>
  <si>
    <t>Субвенции на выплату ежемесячного денежного вознаграждения за классное руководство за счет краевого бюджета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</si>
  <si>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</si>
  <si>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</si>
  <si>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</si>
  <si>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</si>
  <si>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</si>
  <si>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</si>
  <si>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</si>
  <si>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</si>
  <si>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</si>
  <si>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</si>
  <si>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бюджетные ассигнования</t>
  </si>
  <si>
    <t>800</t>
  </si>
  <si>
    <t>Резервные средства</t>
  </si>
  <si>
    <t>870</t>
  </si>
  <si>
    <t>Исполнение судебных актов</t>
  </si>
  <si>
    <t>830</t>
  </si>
  <si>
    <t>Межбюджетные трансферты</t>
  </si>
  <si>
    <t>500</t>
  </si>
  <si>
    <t>Расходы на выплаты персоналу казенных учреждений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</si>
  <si>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</si>
  <si>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</si>
  <si>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</si>
  <si>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</si>
  <si>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</si>
  <si>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Обслуживание государственного (муниципального) долга</t>
  </si>
  <si>
    <t>700</t>
  </si>
  <si>
    <t>Дотации</t>
  </si>
  <si>
    <t>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</si>
  <si>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</si>
  <si>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</si>
  <si>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</si>
  <si>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Субсидии бюджетным учреждениям-МБУ  ДОД  "КДШИ"</t>
  </si>
  <si>
    <t>Субсидии бюджетным учреждениям-МБУ  ДОД  "ГДШИ"</t>
  </si>
  <si>
    <t>Мероприятия по развитию и поддержке библиотек</t>
  </si>
  <si>
    <t>СОЦИАЛЬНАЯ ПОЛИТИКА</t>
  </si>
  <si>
    <t>10</t>
  </si>
  <si>
    <t>1 11 05013 13 0000 120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</si>
  <si>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</si>
  <si>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</si>
  <si>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 xml:space="preserve">Мероприятия по развитию физической культуры и спорта </t>
  </si>
  <si>
    <t>ОБСЛУЖИВАНИЕ ГОСУДАРСТВЕННОГО И МУНИЦИПАЛЬНОГО ДОЛГА</t>
  </si>
  <si>
    <t>Процентные платежи помуниципальному долгу</t>
  </si>
  <si>
    <t>Обслуживание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</si>
  <si>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</si>
  <si>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</si>
  <si>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</si>
  <si>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районного фонда финансовой поддержки</t>
  </si>
  <si>
    <t>Сельское хозяйство и рыболовство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</si>
  <si>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</si>
  <si>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</si>
  <si>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Всего расходов</t>
  </si>
  <si>
    <t>за счет средств краевого  бюджета</t>
  </si>
  <si>
    <t>01 03 01 00 05 0000 710</t>
  </si>
  <si>
    <t>01 03 01 00 05 0000 810</t>
  </si>
  <si>
    <t>Субвенции бюджетам муниципальных районов на выполнение передаваемых полномочий субъектов Российской Федерации</t>
  </si>
  <si>
    <t>1 00 00000 00 0000 000</t>
  </si>
  <si>
    <t>НАЛОГОВЫЕ И НЕНАЛОГОВЫЕ ДОХОДЫ</t>
  </si>
  <si>
    <t>1 01 00000 00 0000 000</t>
  </si>
  <si>
    <t>Мероприятия по развитию и поддержке образовательных учреждений</t>
  </si>
  <si>
    <t>Расходы на обеспечение деятельности (оказание услуг, выполнение работ) муниципальных учреждений - школы</t>
  </si>
  <si>
    <t>Противопожарная безопасность образовательных учреждений</t>
  </si>
  <si>
    <t>Мероприятия по переподготовке и повышению квалификации</t>
  </si>
  <si>
    <t>Расходы на обеспечение деятельности (оказание услуг, выполнение работ) муниципальных  учреждений - прочие учреждения</t>
  </si>
  <si>
    <t>Подпрограмма  № 2 "Развитие дошкольного образования в Кировском муниципальном районе"</t>
  </si>
  <si>
    <t>Подпрограмма  № 3 "Безопасность образовательных учреждений"</t>
  </si>
  <si>
    <t>Санитарно-эпидемиологическая безопасность образовательных учреждений</t>
  </si>
  <si>
    <t>Подпрограмма № 1 "Развитие и поддержка муниципальных образовательных учреждений" образования"</t>
  </si>
  <si>
    <t>Подпрограмма  № 7 "Другие вопросы в области образования"</t>
  </si>
  <si>
    <t>НАЛОГИ НА ПРИБЫЛЬ, ДОХОДЫ</t>
  </si>
  <si>
    <t>Налог на доходы физических лиц</t>
  </si>
  <si>
    <t>1 05 00000 00 0000 000</t>
  </si>
  <si>
    <t>Субсидии бюджетам бюджетной системы Российской Федерации (межбюджетные субсидии)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</si>
  <si>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</si>
  <si>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</si>
  <si>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</si>
  <si>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</si>
  <si>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</si>
  <si>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</si>
  <si>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</si>
  <si>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</si>
  <si>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</si>
  <si>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</si>
  <si>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</si>
  <si>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</si>
  <si>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</si>
  <si>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</si>
  <si>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</si>
  <si>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</si>
  <si>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</si>
  <si>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</si>
  <si>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9900004</t>
  </si>
  <si>
    <t>Муниципальная программа "Доступная среда для инвалидов в Кировском муниципальном районе на 2016-2019 годы"</t>
  </si>
  <si>
    <t>Безвозмездные поступлений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</si>
  <si>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</si>
  <si>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610</t>
  </si>
  <si>
    <t>Подпрограмма  № 4 "Развитие внешкольного образования"</t>
  </si>
  <si>
    <t>Подпрограмма № 5 "Переподготовка и повышение квалификации"</t>
  </si>
  <si>
    <t>Руководство и управление в сфере установленных функций  органов местного самоуправления  (ФУ)</t>
  </si>
  <si>
    <t>Подпрограмма  № 1 «Развитие и поддержка муниципальных образовательных учреждений»</t>
  </si>
  <si>
    <t>Иные межбюджетные трансферты</t>
  </si>
  <si>
    <t>ВСЕГО ДОХОДОВ:</t>
  </si>
  <si>
    <t>01 02 00 00 00 0000 000</t>
  </si>
  <si>
    <t>Кредиты   кредитных организаций в валюте Российской Федерации</t>
  </si>
  <si>
    <t>01 02 00 00 05 0000 710</t>
  </si>
  <si>
    <t>Получение кредитов от кредитных организаций районным бюджетом в валюте Российской Федерации</t>
  </si>
  <si>
    <t>01 02 00 00 05 0000 810</t>
  </si>
  <si>
    <t>Погашение районным бюджетом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</si>
  <si>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</si>
  <si>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</si>
  <si>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Дотации на выравнивание бюджетной обеспеченности поселений из бюджета муниципального района</t>
  </si>
  <si>
    <t>Субвенции бюджетам муниципальных образований Приморского края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</si>
  <si>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, входящих в их состав </t>
  </si>
  <si>
    <t>Ед.изм.</t>
  </si>
  <si>
    <t>Получение бюджетных кредитов от других бюджетов бюджетной системы Российской Федерации районным бюджетом в валюте Российской Федерации</t>
  </si>
  <si>
    <t>Погашение районным бюджетом бюджетных кредитов от других бюджетов бюджетной системы Российской Федерации в валюте Российской Федерации</t>
  </si>
  <si>
    <t>ИТОГО ИСТОЧНИКОВ</t>
  </si>
  <si>
    <t>0000000000</t>
  </si>
  <si>
    <t>9999959300</t>
  </si>
  <si>
    <t>9999000070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</si>
  <si>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</si>
  <si>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</si>
  <si>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111 05025 05 0000 120</t>
  </si>
  <si>
    <t>1 11 07015 05 0000 120</t>
  </si>
  <si>
    <t>1 17 05000 00 0000 180</t>
  </si>
  <si>
    <t>ПРОЧИЕ НЕНАЛОГОВЫЕ ДОХОДЫ</t>
  </si>
  <si>
    <t>1 14 06013 05 0000 430</t>
  </si>
  <si>
    <t>1 17 05050 05 0000 180</t>
  </si>
  <si>
    <t>730</t>
  </si>
  <si>
    <t>Прочие неналоговые доходы бюджетов муниципальных районов</t>
  </si>
  <si>
    <t>9999000040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</si>
  <si>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</si>
  <si>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</si>
  <si>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9995224</t>
  </si>
  <si>
    <t>Субсидии бюджетным учреждениям (МБУ "КДЦ")</t>
  </si>
  <si>
    <t>Иные межбюджетные трансферты на комплектование книжных фондов библиотек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</si>
  <si>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</si>
  <si>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тыс. руб.</t>
  </si>
  <si>
    <t>Массовый спорт</t>
  </si>
  <si>
    <t>Прочие межбюджетные трансферты общего характера</t>
  </si>
  <si>
    <t>Наименование</t>
  </si>
  <si>
    <t>Ведомство</t>
  </si>
  <si>
    <t>Целевая статья</t>
  </si>
  <si>
    <t>Вид расх</t>
  </si>
  <si>
    <t>в том числе:</t>
  </si>
  <si>
    <t>Учреждение: Администрация Кировского муниципального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</si>
  <si>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</si>
  <si>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</si>
  <si>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Процентные платежи по долговым обязательствам</t>
  </si>
  <si>
    <t>Другие общегосударственные вопросы</t>
  </si>
  <si>
    <t xml:space="preserve">Непрограммные направления деятельности органов местного самоуправления </t>
  </si>
  <si>
    <t>01 05 00 00 00 0000 000</t>
  </si>
  <si>
    <t>Изменение остатков средств на счетах по учету средств</t>
  </si>
  <si>
    <t>Другие вопросы в области национальной экономики</t>
  </si>
  <si>
    <t>Коммунальное хозяйство</t>
  </si>
  <si>
    <t>Поддержка коммунального хозяйства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</si>
  <si>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</si>
  <si>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Мобилизационная и вневойсковая подготовка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</si>
  <si>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</si>
  <si>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</si>
  <si>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</si>
  <si>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</si>
  <si>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</si>
  <si>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(тыс. руб. )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</si>
  <si>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</si>
  <si>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</si>
  <si>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</si>
  <si>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</si>
  <si>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</si>
  <si>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</si>
  <si>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черезвычайных ситуаций и стихийных бедствий</t>
  </si>
  <si>
    <t>НАЦИОНАЛЬНАЯ ЭКОНОМИКА</t>
  </si>
  <si>
    <t>08</t>
  </si>
  <si>
    <t>Дорожное хозяйство (дорожные фонды)</t>
  </si>
  <si>
    <t>Содержание автомобильных дорог на территории Кировского района</t>
  </si>
  <si>
    <t>12</t>
  </si>
  <si>
    <t>Подпрограмма  № 5 "Переподготовка и повышение квалификации"</t>
  </si>
  <si>
    <t>Субсидии организациям, образующим инфраструктуру поддержки субъектов малого и среднего предпринимательства, на возмещение затрат, связанных с проведением мероприятий по повышению эффективности и конкурентоспособности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</si>
  <si>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</si>
  <si>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</si>
  <si>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ЖИЛИЩНО-КОММУНАЛЬНОЕ ХОЗЯЙСТВО</t>
  </si>
  <si>
    <t>05</t>
  </si>
  <si>
    <t>Руководство и управление в сфере установленных функций органов государственной власти Приморского края</t>
  </si>
  <si>
    <t>ОБРАЗОВАНИЕ</t>
  </si>
  <si>
    <t>07</t>
  </si>
  <si>
    <t>Расходы на обеспечение деятельности (оказание услуг, выполнение работ) муниципальных учреждений дошкольного образования</t>
  </si>
  <si>
    <t>Благоустройство</t>
  </si>
  <si>
    <t>Захоронение</t>
  </si>
  <si>
    <t>Прочие мероприятия по благоустройству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</si>
  <si>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</si>
  <si>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Учреждение: Дума Кировского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</si>
  <si>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</si>
  <si>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Субвенции бюджетам субъектов Российской Федерации и муниципальных образований</t>
  </si>
  <si>
    <t>Дошкольное образование</t>
  </si>
  <si>
    <t>Мероприятия в сфере образования</t>
  </si>
  <si>
    <t>Охрана семьи и детства</t>
  </si>
  <si>
    <t>1 01 02000 01 0000 110</t>
  </si>
  <si>
    <t>1 12 01000 01 0000 120</t>
  </si>
  <si>
    <t>к решению Думы Кировского</t>
  </si>
  <si>
    <t>муниципального района</t>
  </si>
  <si>
    <t>РАСПРЕДЕЛЕНИЕ</t>
  </si>
  <si>
    <t>0000000</t>
  </si>
  <si>
    <t>000</t>
  </si>
  <si>
    <t>001</t>
  </si>
  <si>
    <t>006</t>
  </si>
  <si>
    <t>003</t>
  </si>
  <si>
    <t>002</t>
  </si>
  <si>
    <t>Глава муниципального образования</t>
  </si>
  <si>
    <t>Обслуживание государственного внутреннего и муниципального долга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</si>
  <si>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</si>
  <si>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</si>
  <si>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</si>
  <si>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Субвенции на создание и обеспечение деятельности комиссий по делам несовершеннолетних и защите их прав</t>
  </si>
  <si>
    <t>1 05 02000 02 0000 110</t>
  </si>
  <si>
    <t>1 05 03000 01 0000 110</t>
  </si>
  <si>
    <t>ДОХОДЫ ОТ ИСПОЛЬЗОВАНИЯ ИМУЩЕСТВА НАХОДЯЩЕГОСЯ В ГОСУДАРСТВЕННОЙ И МУНИЦИПАЛЬНОЙ СОБСТВЕННОСТИ</t>
  </si>
  <si>
    <t>Субсидии автономным учреждениям</t>
  </si>
  <si>
    <t>Субсидии из местного бюджета на содержание многофункциональных центров предоставления государственных и муниципальных услуг</t>
  </si>
  <si>
    <t>Доходы от сдачи в аренду 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автономных учреждений)</t>
  </si>
  <si>
    <t>Учреждение: Муниципальное казенное учреждение «Центр  обслуживания муниципальных образовательных учреждений» Кировского муниципального района Приморского края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</si>
  <si>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автономных учреждений, а так 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</si>
  <si>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</si>
  <si>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</si>
  <si>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1 14 02050 05 0000 410</t>
  </si>
  <si>
    <t>Мунипальная программа "Развитие МФЦ предоставления государственных и муниципальных услуг населению Кировского муниципального района Приморского края на 2016-2018 годы"</t>
  </si>
  <si>
    <t>Муниципальная программа "Развитие МФЦ предоставления государственных и муниципальных услуг населению Кировского муниципального района на 2016-2018 годы"</t>
  </si>
  <si>
    <t>Муниципальная программа " Доступная среда для инвалидов в Кировском муниципальном районе на 2016-2019 годы"</t>
  </si>
  <si>
    <t>Муниципальная программа " Доступная среда для инвалидов в Кировском Муниципальном районе на 2016-2019 годы"</t>
  </si>
  <si>
    <t>Субсидии бюджетным организациям</t>
  </si>
  <si>
    <t>Субвенции бюджетам муниципальных районов Приморского края  на реализацию  дошкольного, общего  и дополнительного образования в   муниципальных общеобразовательных учреждениях по основным общеобразовательным программам</t>
  </si>
  <si>
    <t xml:space="preserve">Субвенции бюджетам муниципальных районов Приморского края   на обеспечение государственных гарантий реализации прав  на получение общедоступного  и бесплатного дошкольного образования в муниципальных дошкольных образовательных  организациях  </t>
  </si>
  <si>
    <t>0595144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</si>
  <si>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</si>
  <si>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Субвенции бюджетам муниципальных районов Приморского края  на осуществление отдельных государственных  полномочий по государственному управлению  охраной труда </t>
  </si>
  <si>
    <t>Субвенции бюджетам муниципальных районов Приморского края на реализацию отдельных государственных полномочий по созданию административных  комиссий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</si>
  <si>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</si>
  <si>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Общее образование</t>
  </si>
  <si>
    <t>Культура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</si>
  <si>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</si>
  <si>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</si>
  <si>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</si>
  <si>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</si>
  <si>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</si>
  <si>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</si>
  <si>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</si>
  <si>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540</t>
  </si>
  <si>
    <t>Иные межбюджетные трансферты бюджетам бюджетной системы</t>
  </si>
  <si>
    <t>2 02 15001 05 0000 151</t>
  </si>
  <si>
    <t>811</t>
  </si>
  <si>
    <t>Приложение № 2</t>
  </si>
  <si>
    <t>9990051200</t>
  </si>
  <si>
    <t>Подпрограмма № 6 «Организация отдыха  детей»</t>
  </si>
  <si>
    <t>Подпрограмма № 8 "Молодежь Кировского района"</t>
  </si>
  <si>
    <t>0800092070</t>
  </si>
  <si>
    <t>3  02 40014 05 0000 151</t>
  </si>
  <si>
    <t>4  02 40014 05 0000 151</t>
  </si>
  <si>
    <t>5  02 40014 05 0000 151</t>
  </si>
  <si>
    <t>Муниципальная программа "Развитие малого и среднего предпринимательства в Кировском муниципальном районе на 2018-2022 годы"</t>
  </si>
  <si>
    <t>0900000000</t>
  </si>
  <si>
    <t>0900090960</t>
  </si>
  <si>
    <t>1000000000</t>
  </si>
  <si>
    <t>1000020140</t>
  </si>
  <si>
    <t>Муниципальная программа "Развитие образования в Кировском муниципальном районе на 2018-2022 годы"</t>
  </si>
  <si>
    <t>Муниципальная программа "Развитие образования в Кировском муниципальном районе на 2018-2022  годы"</t>
  </si>
  <si>
    <t xml:space="preserve"> Муниципальная программа "Профилактика безнадзорности, беспризорности и правонарушений несовершеннолетних на 2018-2022 годы"</t>
  </si>
  <si>
    <t>Муниципальная программа "Профилактика терроризма и экстремизма в Кировском муниципальном районе на 2018-2022 годы"</t>
  </si>
  <si>
    <t>Подпрограмма № 1 "Развитие и поддержка муниципальных образовательных учреждений"</t>
  </si>
  <si>
    <t>Муниципальная программа "Сохранение и развитие культуры в Кировском муниципальном районе на 2018-2022  годы"</t>
  </si>
  <si>
    <t>Муниципальная программа "Развитие физической культуры и спорта в Кировском муниципальном районе на 2018-2022 годы"</t>
  </si>
  <si>
    <t>Муниципальная программа "Сохранение и развитие культуры в Кировском муниципальном районе на 2018-2022 годы"</t>
  </si>
  <si>
    <t>Муниципальная программа "Патриотическое воспитание граждан в Кировском муниципальном районе на 2018-2022 годы"</t>
  </si>
  <si>
    <t>Муниципальная программа "Профилактика экстремизма и терроризма на территории Кировского муниципального района на 2018-2022 годы"</t>
  </si>
  <si>
    <t>Муниципальная программа «Устойчивое развитие сельских территорий на 2014-2017г и на период до 2020 года»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</si>
  <si>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</si>
  <si>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Мероприятия в области коммунального хозяйства </t>
  </si>
  <si>
    <t>Муниципальная программа "Развитие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2018-2022 гг."</t>
  </si>
  <si>
    <t>1000010160</t>
  </si>
  <si>
    <t>1000010162</t>
  </si>
  <si>
    <t>1000010161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</si>
  <si>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 продажи права на заключение договоров аренды указанных земельных участков</t>
  </si>
  <si>
    <t>0180020000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</si>
  <si>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</t>
  </si>
  <si>
    <t>0700020270</t>
  </si>
  <si>
    <t>07000L0270</t>
  </si>
  <si>
    <t>0640020141</t>
  </si>
  <si>
    <t>Обеспечение проведения выборов и референдумов</t>
  </si>
  <si>
    <t>Непрограммные направления деятельности муниципальных органов</t>
  </si>
  <si>
    <t>Проведение выборов в представительные органы муниципального образования</t>
  </si>
  <si>
    <t>9990010109</t>
  </si>
  <si>
    <t>Мероприятия гос.программы РФ "Доступная среда "на 2011-2020 годы (МБУ "КДЦ")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</si>
  <si>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</si>
  <si>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</si>
  <si>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9990091030</t>
  </si>
  <si>
    <t>Иные межбюджетные трансферты бюджетам бюджетной системы (по Указу Президента Российской Федерации от 7 мая 2012 года N 597 "О мероприятиях по реализации государственной социальной политики" в части мероприятий, направленных на повышение средней заработной платы работников муниципальных учреждений культуры)</t>
  </si>
  <si>
    <t>Иные межбюджетные трансферты бюджетам городских поселений Кировского муниципального района  из местного бюджета на ремонт автомобильных дорог общего пользования местного значения в границах населенных пунктов</t>
  </si>
  <si>
    <t>1000010163</t>
  </si>
  <si>
    <t>Плата за пользование имуществом</t>
  </si>
  <si>
    <t>9990010110</t>
  </si>
  <si>
    <t>Иные межбюджетные трансферты бюджетам сельских поселений Кировского муниципального района  из местного бюджета на содержание и ремонт автомобильных дорог общего пользования местного значения в границах населенных пунктов</t>
  </si>
  <si>
    <t>1000010164</t>
  </si>
  <si>
    <t>Приложение  № 3</t>
  </si>
  <si>
    <t>1200093110</t>
  </si>
  <si>
    <t>1200012261</t>
  </si>
  <si>
    <t>1200012262</t>
  </si>
  <si>
    <t>1200012263</t>
  </si>
  <si>
    <t>1200051180</t>
  </si>
  <si>
    <t>1100000000</t>
  </si>
  <si>
    <t>1100011160</t>
  </si>
  <si>
    <t>Муниципальная программа "Энергосбережение и повышение энергетической эффективности в муниципальных учреждениях Кировского муниципального района" на 2019-2021 годы"</t>
  </si>
  <si>
    <t>1200000000</t>
  </si>
  <si>
    <t>0700020271</t>
  </si>
  <si>
    <t>0700020272</t>
  </si>
  <si>
    <t>Процентные платежи по муниципальному долгу</t>
  </si>
  <si>
    <t>Финансовое обеспечение выполнения муниципального задания клубными учреждениями МБУ КДЦ Кировского муниципального района</t>
  </si>
  <si>
    <t>Финансовое обеспечение выполнения муниципального задания межпоселенческой центральной библиотекой МБУ КДЦ Кировского муниципального района</t>
  </si>
  <si>
    <t>Финансовое обеспечение выполнения муниципального задания районным музеем им. В.М. Малаева  и культурно-этнографическим музеем-комплексом "Крестьянская усадьба. Начало ХХ века." с. Подгорное МБУ КДЦ Кировского муниципального района</t>
  </si>
  <si>
    <t>Финансовое обеспечение (бухгалтерский учет) МБУ КДЦ Кировского муниципального района</t>
  </si>
  <si>
    <t>Финансовое обеспечение клубных учреждений сельских поселений (Крыловское сельское поселение, Руновское сельское поселение (оказание услуг, выполнение работ)</t>
  </si>
  <si>
    <t>Меропрятия по ликвидации МАУ "МФЦ"</t>
  </si>
  <si>
    <t>9990010120</t>
  </si>
  <si>
    <t>Муниципальная программа "Совершенствование межбюджетных отношений и управление муниципальным долгом в Кировском муниципальном районе на 2019-2021 годы"</t>
  </si>
  <si>
    <t>1 14 06025 05 0000 430</t>
  </si>
  <si>
    <t>Муниципальная программа "Противодействия коррупции в администрации Кировского муниципального района на 2019-2020 годы"</t>
  </si>
  <si>
    <t>Основное мероприятие "Совершенствование системы противодействия коррупции в Кировском районе"</t>
  </si>
  <si>
    <t xml:space="preserve"> Мероприятия по противодействию коррупции </t>
  </si>
  <si>
    <t>1300000000</t>
  </si>
  <si>
    <t>1300013000</t>
  </si>
  <si>
    <t>1300013360</t>
  </si>
  <si>
    <t>Учреждение: финансовое  управление администрации Кировского муниципального района</t>
  </si>
  <si>
    <t>Мероприятия в области коммунального хозяйства (содержание интерната)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</si>
  <si>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муниципальным районам</t>
  </si>
  <si>
    <t>2 02 29999 05 0000 150</t>
  </si>
  <si>
    <t>2 02 35930 05 0000 150</t>
  </si>
  <si>
    <t>2 02 35120 05 0000 150</t>
  </si>
  <si>
    <t>2 02 30024 05 0000 150</t>
  </si>
  <si>
    <t>2 02 15002 05 0000 150</t>
  </si>
  <si>
    <t>2 02 30029 05 0000 150</t>
  </si>
  <si>
    <t xml:space="preserve">Субвенции бюджетам муниципальных районов Приморского края  на реализацию 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</si>
  <si>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>202 30024 05 0000 150</t>
  </si>
  <si>
    <t xml:space="preserve">Субвенции бюджетам муниципальных районов Приморского края  на осуществление отдельных государственных 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</si>
  <si>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</si>
  <si>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2 02 30000 00 0000 150</t>
  </si>
  <si>
    <t>2 02 40000 00 0000 150</t>
  </si>
  <si>
    <t>2  02 40014 05 0000 150</t>
  </si>
  <si>
    <t>Субвенции  на обеспечение   бесплатным питанием детей, обучающихся муниципальных общеобразовательных учреждениях</t>
  </si>
  <si>
    <t>0110093150</t>
  </si>
  <si>
    <t>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</si>
  <si>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тыс. человек</t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</si>
  <si>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</si>
  <si>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2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</si>
  <si>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</si>
  <si>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Мероприятия по комплектованию книжных фондов и обеспечению информационно- техническим оборудованием библиотек</t>
  </si>
  <si>
    <r>
      <t xml:space="preserve">Расходы на обеспечение развития и укрепления материально-технической базы домов культуры в населенных пунктах с числом жителей до 50 тыс. человек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</si>
  <si>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на комплектование книжных фондов и обеспечение информационно- техническим оборудованием библиотек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</si>
  <si>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комплектование книжных фондов и обеспечение информационно- техническим оборудованием библиотек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</si>
  <si>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Обеспечение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</si>
  <si>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t>9990093130</t>
  </si>
  <si>
    <t>06100R4670</t>
  </si>
  <si>
    <t>0620000000</t>
  </si>
  <si>
    <t>0620092540</t>
  </si>
  <si>
    <t>0620020141</t>
  </si>
  <si>
    <t>06100S4670</t>
  </si>
  <si>
    <t>Мероприятия по развитию спортивной инфраструктуры, находящейся в муниципальной собственности</t>
  </si>
  <si>
    <t xml:space="preserve">Мероприятия по противодействию коррупции </t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</si>
  <si>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</si>
  <si>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</si>
  <si>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1 11 01050 05 0000 120</t>
  </si>
  <si>
    <t>400</t>
  </si>
  <si>
    <t>410</t>
  </si>
  <si>
    <t>Капитальные вложения в объекты государственной (муниципальной собственности)</t>
  </si>
  <si>
    <t>Бюджетные инвестиции</t>
  </si>
  <si>
    <t>Социальное обеспечение населения</t>
  </si>
  <si>
    <t>Доплата к пенсиям, дополнительное пенсионное обеспечение</t>
  </si>
  <si>
    <t xml:space="preserve">Непрограммные направления деятельности </t>
  </si>
  <si>
    <t>Погашение кредиторской задолженности прошлых лет (САДЫ)</t>
  </si>
  <si>
    <t>9990010130</t>
  </si>
  <si>
    <t xml:space="preserve">Погашение кредиторской задолженности прошлых лет </t>
  </si>
  <si>
    <t>Дополнительное образование</t>
  </si>
  <si>
    <t>99900М0820</t>
  </si>
  <si>
    <t>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</si>
  <si>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Руководство и управление в сфере установленных функций органов местного самоуправления  (УМСАиПЭ)</t>
  </si>
  <si>
    <t>уточнить , убрать остаток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</si>
  <si>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 поселений а так же средства от продажи права на заключение договоров аренды указанных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</si>
  <si>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 а так же средства от продажи права на заключение договоров аренды указанных участков</t>
  </si>
  <si>
    <t>Субсидии бюджетам муниципальных образований Приморского края на обеспечение граждан твердым топливом</t>
  </si>
  <si>
    <t>Резервный фонд администрации Кировского муниципального района</t>
  </si>
  <si>
    <t>9990010140</t>
  </si>
  <si>
    <t>Возмещение затрат или недополученных доходов от обеспечения граждан твердым топливом в границах Кировского  муниципального района</t>
  </si>
  <si>
    <t>1400192620</t>
  </si>
  <si>
    <t>1400000000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</si>
  <si>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</si>
  <si>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"Организация обеспечения  твердым топливом населения, проживающего на территории сельских поселений Кировского муниципального района" на 2019 – 2021 годы</t>
  </si>
  <si>
    <t>880</t>
  </si>
  <si>
    <t>Специальные расходы</t>
  </si>
  <si>
    <t>040P592191</t>
  </si>
  <si>
    <t>040P592190</t>
  </si>
  <si>
    <t>9990010150</t>
  </si>
  <si>
    <t xml:space="preserve">Содержание дорожной техники </t>
  </si>
  <si>
    <t>9990010160</t>
  </si>
  <si>
    <t>Содержание жилых помещений, приобретаемых в рамках выполнения полномочий по обеспечению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</si>
  <si>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t xml:space="preserve"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тыс. человек </t>
  </si>
  <si>
    <t>Приложение № 4</t>
  </si>
  <si>
    <t xml:space="preserve">% исполнения </t>
  </si>
  <si>
    <t>% 
 исполнения</t>
  </si>
  <si>
    <t xml:space="preserve">Объемы доходов районного бюджета на  2020 год 
</t>
  </si>
  <si>
    <t>Сумма на 2020 год</t>
  </si>
  <si>
    <t>Исполнено за 2020 год</t>
  </si>
  <si>
    <t>Доходы, поступающие в порядке возмещения расходов, понесенных в связи с эксплуатацией имущества муниципальных районов</t>
  </si>
  <si>
    <t>Дотации 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</si>
  <si>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</si>
  <si>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>2 02 20000 00 0000 151</t>
  </si>
  <si>
    <t xml:space="preserve">Прочие субсидии бюджетам муниципальных районов
</t>
  </si>
  <si>
    <t>Субсидии                                                                                                             
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</si>
  <si>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 xml:space="preserve"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 </t>
  </si>
  <si>
    <t>Субсидии бюджетам муниципальных образований Приморского края 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</si>
  <si>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образований Приморского края на капитальный ремонт оздоровительных лагерей, находящихся в собственности муниципальных образований</t>
  </si>
  <si>
    <t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</t>
  </si>
  <si>
    <t>Субсидии бюджетам муниципальных образований Приморского края на комплектование книжных фондов и обеспечение информационно - техническим оборудованием библиотек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</si>
  <si>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</si>
  <si>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Субсидии бюджетам муниципальных образований Приморского края на организацию физкультурно-спортивной работы по месту жительства </t>
  </si>
  <si>
    <t>Субвенции бюджетам муниципальных   районов на осуществление полномочий Российской Федерации по государственной регистрации актов гражданского состояния</t>
  </si>
  <si>
    <t>202 35260 05 0000 150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</si>
  <si>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</si>
  <si>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</si>
  <si>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 бюджетам муниципальных районов Приморского края на осуществление отдельных государственных полномочий по обеспечению   бесплатным питанием детей, обучающихся в муниципальных образовательных организациях Приморского края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</si>
  <si>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</si>
  <si>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</si>
  <si>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</si>
  <si>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</t>
  </si>
  <si>
    <t>Субвенции                                                                                                             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</si>
  <si>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</si>
  <si>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</si>
  <si>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</t>
  </si>
  <si>
    <t>2  02 49999 05 0000 150</t>
  </si>
  <si>
    <t xml:space="preserve">Иные межбюджетные трансферты                                                                                                                бюджетам муниципальных образований Приморского края на оказание содействия в подготовке проведения общероссийского  голосования, а также в информировании граждан Российской Федерации о такой подготовке </t>
  </si>
  <si>
    <t>2  02 45303 05 0000 150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</si>
  <si>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</si>
  <si>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1 17 01000 00 0000 180</t>
  </si>
  <si>
    <t>Невыясненные платежи</t>
  </si>
  <si>
    <t>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</si>
  <si>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</si>
  <si>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Источники внутреннего финансирования дефицита районного бюджета на 2020 год </t>
  </si>
  <si>
    <t>Сумма на 2020 г.</t>
  </si>
  <si>
    <t>Исполнено за  2020 г.</t>
  </si>
  <si>
    <t xml:space="preserve">бюджетных ассигнований из районного бюджета на 2020  год  по разделам, </t>
  </si>
  <si>
    <t>Составление (изменение) списков кандидатов  в присяжные заседатели федеральных судов общей юрисдикции</t>
  </si>
  <si>
    <t>Субвенции на государственную регистрацию актов гражданского состояния за счет средств резервного фонда Правительства Российской Федерации</t>
  </si>
  <si>
    <t>999995930F</t>
  </si>
  <si>
    <t xml:space="preserve">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Приморского края, осуществляющих конвертацию и передачу записей актов гражданского состояния в ЕГРЗАГС,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</si>
  <si>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9999958790</t>
  </si>
  <si>
    <t>Мероприятия, направленные на предупреждение распространения новой коронавирусной инфекции</t>
  </si>
  <si>
    <t>9990010141</t>
  </si>
  <si>
    <t>Мероприятия по строительству, реконструкции и приобретению зданий муниципальных общеобразовательных организаций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</si>
  <si>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2"/>
        <rFont val="Times New Roman"/>
        <family val="1"/>
      </rPr>
      <t>(краевой бюджет)</t>
    </r>
  </si>
  <si>
    <t>0110092040</t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</si>
  <si>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</si>
  <si>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0110Б92040</t>
  </si>
  <si>
    <t>Расходы на подготовку документации для выхода на аукцион на право проведения проектно-изыскательских работ по строительству здания муниципальной общеобразовательной организации (с. Уссурка)</t>
  </si>
  <si>
    <t>0110020044</t>
  </si>
  <si>
    <t>0190020041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</si>
  <si>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 (иные межбюджетные трансферты за счет бюджета Приморского края) </t>
  </si>
  <si>
    <t>999W994020</t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</si>
  <si>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(местный бюджет) </t>
  </si>
  <si>
    <t>999W910170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</si>
  <si>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</si>
  <si>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999W958530</t>
  </si>
  <si>
    <t>Мероприятия, направленные на ликвидацию чрезвычайной ситуации в связи с появлением очагов африканской чумы свиней на территории Кировского муниципального района</t>
  </si>
  <si>
    <t>9990010142</t>
  </si>
  <si>
    <t>Субсидии юридическим лицам (кроме некоммерческих организаций), индивидуальным предпринимателям</t>
  </si>
  <si>
    <t>1000010165</t>
  </si>
  <si>
    <t>Капитальный ремонт и ремонт автомобильных дорог общего пользования населенных пунктов</t>
  </si>
  <si>
    <t>1000092390</t>
  </si>
  <si>
    <t>1000Б92390</t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</si>
  <si>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</si>
  <si>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2"/>
        <rFont val="Times New Roman"/>
        <family val="1"/>
      </rPr>
      <t>(местный бюджет)</t>
    </r>
  </si>
  <si>
    <t>1400Б92620</t>
  </si>
  <si>
    <t>1100011161</t>
  </si>
  <si>
    <t>Субвенции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</si>
  <si>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</si>
  <si>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01100R3041</t>
  </si>
  <si>
    <t>0110053030</t>
  </si>
  <si>
    <t xml:space="preserve">Мероприятия по приобретению музыкальных инструментов и художественного инвентаря для учреждений дополнительного образования детей в сфере культуры </t>
  </si>
  <si>
    <r>
      <t>Субсидии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</t>
    </r>
    <r>
      <rPr>
        <b/>
        <sz val="12"/>
        <rFont val="Times New Roman"/>
        <family val="1"/>
      </rPr>
      <t>краевой бюджет)</t>
    </r>
  </si>
  <si>
    <t>0640092480</t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</si>
  <si>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</si>
  <si>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0640192480</t>
  </si>
  <si>
    <t>Молодежная политика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</si>
  <si>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</si>
  <si>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Мероприятия по капитальному ремонту оздоровительных лагерей, находящихся в собственности муниципальных образований </t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</si>
  <si>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2"/>
        <rFont val="Times New Roman"/>
        <family val="1"/>
      </rPr>
      <t>краевой бюджет)</t>
    </r>
  </si>
  <si>
    <t>0140092030</t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</si>
  <si>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2"/>
        <rFont val="Times New Roman"/>
        <family val="1"/>
      </rPr>
      <t>местного бюджета</t>
    </r>
    <r>
      <rPr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</si>
  <si>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0140Б92030</t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</si>
  <si>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(отдел образования администрации КМР)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</si>
  <si>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(МКУ "ЦОМОУ")</t>
    </r>
  </si>
  <si>
    <t>9990093160</t>
  </si>
  <si>
    <t>0300030363</t>
  </si>
  <si>
    <t>011Е593140</t>
  </si>
  <si>
    <t>Субвенции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</si>
  <si>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9990093050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</si>
  <si>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</si>
  <si>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9990052600</t>
  </si>
  <si>
    <r>
      <t xml:space="preserve">Субсидии бюджетам муниципальных образований Приморского края на развитие спортивной инфраструктуры, находящейся в муниципальной собственности </t>
    </r>
    <r>
      <rPr>
        <b/>
        <i/>
        <sz val="12"/>
        <rFont val="Times New Roman"/>
        <family val="1"/>
      </rPr>
      <t>(краевой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</si>
  <si>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2"/>
        <rFont val="Times New Roman"/>
        <family val="1"/>
      </rPr>
      <t>(администрация КМР)</t>
    </r>
  </si>
  <si>
    <r>
      <t xml:space="preserve">Расходы на развитие спортивной инфраструктуры, находящейся в муниципальной собственности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</si>
  <si>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Расходы на подготовку сметной документации, прохождение экспертизы и иные расходы по спортивным объектам</t>
  </si>
  <si>
    <t>0400040470</t>
  </si>
  <si>
    <t>Мероприятия по организации физкультурно-спортивной работы по месту жительства</t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</si>
  <si>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2"/>
        <rFont val="Times New Roman"/>
        <family val="1"/>
      </rPr>
      <t>(краевой бюджет)</t>
    </r>
  </si>
  <si>
    <t>040Р592220</t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</si>
  <si>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2"/>
        <rFont val="Times New Roman"/>
        <family val="1"/>
      </rPr>
      <t>местного бюджета</t>
    </r>
    <r>
      <rPr>
        <i/>
        <sz val="12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</si>
  <si>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041Р592220</t>
  </si>
  <si>
    <t>Мероприятия по приобретению и поставке спортивного инвентаря, спортивного оборудования и иного имущества для развития лыжного спорта</t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</si>
  <si>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2"/>
        <rFont val="Times New Roman"/>
        <family val="1"/>
      </rPr>
      <t>(краевой бюджет)</t>
    </r>
  </si>
  <si>
    <t>040P592180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</si>
  <si>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средств местного бюджета, в целях софинансирования которых из бюджета Приморского края предоставляются субсидии</t>
  </si>
  <si>
    <t>040P592181</t>
  </si>
  <si>
    <t>Иные межбюджетные трансферты общего характера (в целях компенсации расходов в связи с увеличением ставки налога на имущество организаций в отношении объектов социально-культурной сферы)</t>
  </si>
  <si>
    <t>1200012264</t>
  </si>
  <si>
    <t xml:space="preserve">Иные межбюджетные трансферты  бюджетам поселений Кировского муниципального районана иных межбюджетных трансфертов бюджетам  поселений, входящих в состав Кировского муниципального района, в связи с дополнительными расходами бюджетов поселений в 2020 году, связанных с пандемией новой коронавирусной инфекции, а также в целях снижения объема долговых обязательств муниципальных образований </t>
  </si>
  <si>
    <t>1200012265</t>
  </si>
  <si>
    <t xml:space="preserve">бюджетных ассигнований из районного бюджета на 2020 год в ведомственной структуре расходов районного бюджета </t>
  </si>
  <si>
    <t>Общий объем на 2020 г.</t>
  </si>
  <si>
    <r>
      <t xml:space="preserve">Субсидии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</t>
    </r>
    <r>
      <rPr>
        <b/>
        <sz val="11"/>
        <rFont val="Times New Roman"/>
        <family val="1"/>
      </rPr>
      <t>(краевой бюджет)</t>
    </r>
  </si>
  <si>
    <r>
      <t xml:space="preserve">Расходы на строительство, реконструкцию и приобретение зданий муниципальных общеобразовательных организаций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</si>
  <si>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 xml:space="preserve">Содействие в подготовке проведения общероссийского  голосования, а также в информировании граждан Российской Федерации о такой подготовке (иные межбюджетные трансферты за счет бюджета Приморского края) </t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</si>
  <si>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(краевой бюджет)</t>
    </r>
  </si>
  <si>
    <r>
      <t xml:space="preserve">Субсидии юридическим лицам (кроме некоммерческих организаций), индивидуальным предпринимателям </t>
    </r>
    <r>
      <rPr>
        <b/>
        <sz val="11"/>
        <rFont val="Times New Roman"/>
        <family val="1"/>
      </rPr>
      <t>(местный бюджет)</t>
    </r>
  </si>
  <si>
    <r>
      <rPr>
        <i/>
        <sz val="11"/>
        <rFont val="Times New Roman"/>
        <family val="1"/>
      </rPr>
      <t>Субсидии</t>
    </r>
    <r>
      <rPr>
        <sz val="11"/>
        <rFont val="Times New Roman"/>
        <family val="1"/>
      </rPr>
      <t xml:space="preserve"> бюджетам муниципальных образований на  приобретение музыкальных инструментов и художественного инвентаря для учреждений дополнительного образования детей в сфере культуры (краевой бюджет)</t>
    </r>
  </si>
  <si>
    <r>
      <t xml:space="preserve">Расходы на 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</t>
    </r>
    <r>
      <rPr>
        <b/>
        <i/>
        <sz val="11"/>
        <rFont val="Times New Roman"/>
        <family val="1"/>
      </rPr>
      <t>местного бюджета,</t>
    </r>
    <r>
      <rPr>
        <sz val="11"/>
        <rFont val="Times New Roman"/>
        <family val="1"/>
      </rPr>
      <t xml:space="preserve"> в целях софинансирования которых из бюджета Приморского края предоставляются субсидии</t>
    </r>
  </si>
  <si>
    <r>
  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  </r>
    <r>
      <rPr>
        <b/>
        <i/>
        <sz val="11"/>
        <rFont val="Times New Roman"/>
        <family val="1"/>
      </rPr>
      <t>(краевой бюджет)</t>
    </r>
  </si>
  <si>
    <r>
      <t>Субсидии бюджетам муниципальных образований на  капитальный ремонт оздоровительных лагерей, находящихся в собственности муниципальных образований (</t>
    </r>
    <r>
      <rPr>
        <b/>
        <sz val="11"/>
        <rFont val="Times New Roman"/>
        <family val="1"/>
      </rPr>
      <t>краевой бюджет)</t>
    </r>
  </si>
  <si>
    <r>
      <t xml:space="preserve">Расходы на  капитальный ремонт оздоровительных лагерей, находящихся в собственности муниципальных образований за счет средств </t>
    </r>
    <r>
      <rPr>
        <b/>
        <sz val="11"/>
        <rFont val="Times New Roman"/>
        <family val="1"/>
      </rPr>
      <t>местного бюджета</t>
    </r>
    <r>
      <rPr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</si>
  <si>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r>
      <t xml:space="preserve">Субсидии бюджетам муниципальных образований Приморского края на организацию физкультурно-спортивной работы по месту жительства </t>
    </r>
    <r>
      <rPr>
        <b/>
        <i/>
        <sz val="11"/>
        <rFont val="Times New Roman"/>
        <family val="1"/>
      </rPr>
      <t>(краевой бюджет)</t>
    </r>
  </si>
  <si>
    <r>
      <t xml:space="preserve">Расходы на организацию физкультурно-спортивной работы по месту жительства за счет средств </t>
    </r>
    <r>
      <rPr>
        <b/>
        <i/>
        <sz val="11"/>
        <rFont val="Times New Roman"/>
        <family val="1"/>
      </rPr>
      <t>местного бюджета</t>
    </r>
    <r>
      <rPr>
        <i/>
        <sz val="11"/>
        <rFont val="Times New Roman"/>
        <family val="1"/>
      </rPr>
      <t>, в целях софинансирования которых из бюджета Приморского края предоставляются субсидии</t>
    </r>
  </si>
  <si>
    <t>Общий объем на 2020 г</t>
  </si>
  <si>
    <t>Кассовое исполнение за 2020 г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</si>
  <si>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Приморского края, осуществляющих конвертацию и передачу записей актов гражданского состояния в ЕГРЗАГС,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</si>
  <si>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 xml:space="preserve">Наименование </t>
  </si>
  <si>
    <t>Приложение № 1</t>
  </si>
  <si>
    <t>№104 от 27.05.2021 г.</t>
  </si>
  <si>
    <t>№104 от 27.05.2021г.</t>
  </si>
  <si>
    <t>№103 от 27.05.2021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</si>
</sst>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0000000"/>
    <numFmt numFmtId="194" formatCode="0.00000000"/>
    <numFmt numFmtId="195" formatCode="0.0000000"/>
  </numFmts>
  <fonts count="9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1"/>
      <name val="Times New Roman"/>
      <family val="1"/>
    </font>
    <font>
      <u val="single"/>
      <sz val="10"/>
      <name val="Arial Cyr"/>
      <family val="0"/>
    </font>
    <font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Arial Cyr"/>
      <family val="0"/>
    </font>
    <font>
      <i/>
      <u val="single"/>
      <sz val="12"/>
      <name val="Times New Roman"/>
      <family val="1"/>
    </font>
    <font>
      <sz val="11"/>
      <name val="Times New Roman CE"/>
      <family val="1"/>
    </font>
    <font>
      <b/>
      <i/>
      <sz val="11"/>
      <name val="Arial Cyr"/>
      <family val="0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i/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BAB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>
      <alignment vertical="top" wrapText="1"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3" fillId="0" borderId="0">
      <alignment/>
      <protection/>
    </xf>
    <xf numFmtId="0" fontId="1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3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16" fillId="35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34" borderId="0" xfId="0" applyFont="1" applyFill="1" applyAlignment="1">
      <alignment/>
    </xf>
    <xf numFmtId="0" fontId="3" fillId="35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vertical="center" wrapText="1" shrinkToFit="1"/>
    </xf>
    <xf numFmtId="0" fontId="24" fillId="36" borderId="0" xfId="0" applyFont="1" applyFill="1" applyAlignment="1">
      <alignment/>
    </xf>
    <xf numFmtId="0" fontId="25" fillId="34" borderId="0" xfId="0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22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22" fillId="0" borderId="0" xfId="0" applyFont="1" applyAlignment="1">
      <alignment/>
    </xf>
    <xf numFmtId="0" fontId="29" fillId="0" borderId="0" xfId="0" applyFont="1" applyFill="1" applyAlignment="1">
      <alignment/>
    </xf>
    <xf numFmtId="0" fontId="2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30" fillId="0" borderId="11" xfId="0" applyFont="1" applyFill="1" applyBorder="1" applyAlignment="1">
      <alignment vertical="center" wrapText="1"/>
    </xf>
    <xf numFmtId="188" fontId="0" fillId="0" borderId="0" xfId="0" applyNumberFormat="1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188" fontId="17" fillId="37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15" fillId="37" borderId="0" xfId="0" applyFont="1" applyFill="1" applyBorder="1" applyAlignment="1">
      <alignment horizontal="left" vertical="justify" wrapText="1"/>
    </xf>
    <xf numFmtId="0" fontId="14" fillId="37" borderId="0" xfId="0" applyFont="1" applyFill="1" applyBorder="1" applyAlignment="1">
      <alignment horizontal="center" vertical="justify" wrapText="1"/>
    </xf>
    <xf numFmtId="0" fontId="4" fillId="37" borderId="11" xfId="0" applyFont="1" applyFill="1" applyBorder="1" applyAlignment="1">
      <alignment horizontal="left" vertical="center" wrapText="1"/>
    </xf>
    <xf numFmtId="188" fontId="4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2" fontId="3" fillId="37" borderId="11" xfId="0" applyNumberFormat="1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left" vertical="center" wrapText="1"/>
    </xf>
    <xf numFmtId="0" fontId="13" fillId="37" borderId="11" xfId="0" applyFont="1" applyFill="1" applyBorder="1" applyAlignment="1">
      <alignment horizontal="left" vertical="center"/>
    </xf>
    <xf numFmtId="188" fontId="0" fillId="0" borderId="0" xfId="0" applyNumberFormat="1" applyAlignment="1">
      <alignment/>
    </xf>
    <xf numFmtId="0" fontId="3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 wrapText="1"/>
    </xf>
    <xf numFmtId="188" fontId="28" fillId="38" borderId="11" xfId="0" applyNumberFormat="1" applyFont="1" applyFill="1" applyBorder="1" applyAlignment="1">
      <alignment horizontal="center" vertical="center" wrapText="1"/>
    </xf>
    <xf numFmtId="188" fontId="17" fillId="38" borderId="11" xfId="0" applyNumberFormat="1" applyFont="1" applyFill="1" applyBorder="1" applyAlignment="1">
      <alignment horizontal="center" vertical="center" wrapText="1"/>
    </xf>
    <xf numFmtId="188" fontId="28" fillId="37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188" fontId="21" fillId="37" borderId="11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 shrinkToFit="1"/>
    </xf>
    <xf numFmtId="0" fontId="0" fillId="39" borderId="0" xfId="0" applyFill="1" applyAlignment="1">
      <alignment/>
    </xf>
    <xf numFmtId="188" fontId="3" fillId="39" borderId="11" xfId="0" applyNumberFormat="1" applyFont="1" applyFill="1" applyBorder="1" applyAlignment="1">
      <alignment horizontal="center" vertical="center" wrapText="1"/>
    </xf>
    <xf numFmtId="188" fontId="3" fillId="37" borderId="11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right" vertical="justify" wrapText="1"/>
    </xf>
    <xf numFmtId="0" fontId="22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6" fillId="37" borderId="0" xfId="0" applyFont="1" applyFill="1" applyBorder="1" applyAlignment="1">
      <alignment horizontal="center" vertical="justify" wrapText="1"/>
    </xf>
    <xf numFmtId="0" fontId="3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 shrinkToFi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 shrinkToFit="1"/>
    </xf>
    <xf numFmtId="190" fontId="35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90" fontId="26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188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188" fontId="17" fillId="39" borderId="11" xfId="0" applyNumberFormat="1" applyFont="1" applyFill="1" applyBorder="1" applyAlignment="1">
      <alignment horizontal="center" vertical="center" wrapText="1"/>
    </xf>
    <xf numFmtId="188" fontId="84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188" fontId="84" fillId="39" borderId="11" xfId="0" applyNumberFormat="1" applyFont="1" applyFill="1" applyBorder="1" applyAlignment="1">
      <alignment horizontal="center" vertical="center" wrapText="1"/>
    </xf>
    <xf numFmtId="188" fontId="17" fillId="41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188" fontId="30" fillId="35" borderId="11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18" fillId="34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right"/>
    </xf>
    <xf numFmtId="188" fontId="32" fillId="0" borderId="11" xfId="0" applyNumberFormat="1" applyFont="1" applyFill="1" applyBorder="1" applyAlignment="1">
      <alignment horizontal="right"/>
    </xf>
    <xf numFmtId="188" fontId="21" fillId="0" borderId="11" xfId="0" applyNumberFormat="1" applyFont="1" applyFill="1" applyBorder="1" applyAlignment="1">
      <alignment horizontal="center" vertical="center"/>
    </xf>
    <xf numFmtId="188" fontId="3" fillId="41" borderId="11" xfId="0" applyNumberFormat="1" applyFont="1" applyFill="1" applyBorder="1" applyAlignment="1">
      <alignment horizontal="center" vertical="center" wrapText="1"/>
    </xf>
    <xf numFmtId="4" fontId="17" fillId="41" borderId="11" xfId="0" applyNumberFormat="1" applyFont="1" applyFill="1" applyBorder="1" applyAlignment="1">
      <alignment horizontal="center" vertical="center" wrapText="1"/>
    </xf>
    <xf numFmtId="188" fontId="84" fillId="42" borderId="11" xfId="0" applyNumberFormat="1" applyFont="1" applyFill="1" applyBorder="1" applyAlignment="1">
      <alignment horizontal="center" vertical="center" wrapText="1"/>
    </xf>
    <xf numFmtId="188" fontId="28" fillId="39" borderId="11" xfId="0" applyNumberFormat="1" applyFont="1" applyFill="1" applyBorder="1" applyAlignment="1">
      <alignment horizontal="center" vertical="center" wrapText="1"/>
    </xf>
    <xf numFmtId="188" fontId="0" fillId="0" borderId="11" xfId="0" applyNumberFormat="1" applyFill="1" applyBorder="1" applyAlignment="1">
      <alignment horizontal="right"/>
    </xf>
    <xf numFmtId="188" fontId="17" fillId="42" borderId="11" xfId="0" applyNumberFormat="1" applyFont="1" applyFill="1" applyBorder="1" applyAlignment="1">
      <alignment horizontal="center" vertical="center" wrapText="1"/>
    </xf>
    <xf numFmtId="188" fontId="17" fillId="31" borderId="11" xfId="0" applyNumberFormat="1" applyFont="1" applyFill="1" applyBorder="1" applyAlignment="1">
      <alignment horizontal="center" vertical="center" wrapText="1"/>
    </xf>
    <xf numFmtId="188" fontId="28" fillId="41" borderId="11" xfId="0" applyNumberFormat="1" applyFont="1" applyFill="1" applyBorder="1" applyAlignment="1">
      <alignment horizontal="center" vertical="center" wrapText="1"/>
    </xf>
    <xf numFmtId="188" fontId="85" fillId="39" borderId="11" xfId="0" applyNumberFormat="1" applyFont="1" applyFill="1" applyBorder="1" applyAlignment="1">
      <alignment horizontal="center" vertical="center" wrapText="1"/>
    </xf>
    <xf numFmtId="188" fontId="84" fillId="0" borderId="11" xfId="0" applyNumberFormat="1" applyFont="1" applyFill="1" applyBorder="1" applyAlignment="1">
      <alignment horizontal="center" vertical="center"/>
    </xf>
    <xf numFmtId="188" fontId="0" fillId="37" borderId="11" xfId="0" applyNumberFormat="1" applyFont="1" applyFill="1" applyBorder="1" applyAlignment="1">
      <alignment horizontal="right"/>
    </xf>
    <xf numFmtId="188" fontId="0" fillId="0" borderId="11" xfId="0" applyNumberFormat="1" applyFont="1" applyFill="1" applyBorder="1" applyAlignment="1">
      <alignment horizontal="right"/>
    </xf>
    <xf numFmtId="188" fontId="18" fillId="37" borderId="11" xfId="0" applyNumberFormat="1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2" fontId="4" fillId="37" borderId="11" xfId="0" applyNumberFormat="1" applyFont="1" applyFill="1" applyBorder="1" applyAlignment="1">
      <alignment horizontal="center" vertical="center" wrapText="1"/>
    </xf>
    <xf numFmtId="2" fontId="30" fillId="37" borderId="11" xfId="0" applyNumberFormat="1" applyFont="1" applyFill="1" applyBorder="1" applyAlignment="1">
      <alignment horizontal="center" vertical="center" wrapText="1"/>
    </xf>
    <xf numFmtId="188" fontId="34" fillId="0" borderId="11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188" fontId="86" fillId="39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88" fontId="22" fillId="37" borderId="11" xfId="0" applyNumberFormat="1" applyFont="1" applyFill="1" applyBorder="1" applyAlignment="1">
      <alignment horizontal="right"/>
    </xf>
    <xf numFmtId="188" fontId="34" fillId="34" borderId="11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8" fillId="39" borderId="0" xfId="0" applyFont="1" applyFill="1" applyAlignment="1">
      <alignment horizontal="center" vertical="center"/>
    </xf>
    <xf numFmtId="4" fontId="17" fillId="37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88" fontId="18" fillId="43" borderId="11" xfId="0" applyNumberFormat="1" applyFont="1" applyFill="1" applyBorder="1" applyAlignment="1">
      <alignment horizontal="center" vertical="center" wrapText="1"/>
    </xf>
    <xf numFmtId="188" fontId="21" fillId="40" borderId="11" xfId="0" applyNumberFormat="1" applyFont="1" applyFill="1" applyBorder="1" applyAlignment="1">
      <alignment horizontal="center" vertical="center" wrapText="1"/>
    </xf>
    <xf numFmtId="190" fontId="0" fillId="36" borderId="0" xfId="0" applyNumberFormat="1" applyFont="1" applyFill="1" applyAlignment="1">
      <alignment/>
    </xf>
    <xf numFmtId="4" fontId="17" fillId="44" borderId="11" xfId="0" applyNumberFormat="1" applyFont="1" applyFill="1" applyBorder="1" applyAlignment="1">
      <alignment horizontal="center" vertical="center" wrapText="1"/>
    </xf>
    <xf numFmtId="190" fontId="8" fillId="34" borderId="0" xfId="0" applyNumberFormat="1" applyFont="1" applyFill="1" applyAlignment="1">
      <alignment/>
    </xf>
    <xf numFmtId="188" fontId="2" fillId="44" borderId="11" xfId="0" applyNumberFormat="1" applyFont="1" applyFill="1" applyBorder="1" applyAlignment="1">
      <alignment horizontal="right"/>
    </xf>
    <xf numFmtId="188" fontId="17" fillId="44" borderId="11" xfId="0" applyNumberFormat="1" applyFont="1" applyFill="1" applyBorder="1" applyAlignment="1">
      <alignment horizontal="center" vertical="center" wrapText="1"/>
    </xf>
    <xf numFmtId="190" fontId="0" fillId="33" borderId="0" xfId="0" applyNumberFormat="1" applyFill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87" fillId="0" borderId="0" xfId="0" applyFont="1" applyFill="1" applyAlignment="1">
      <alignment/>
    </xf>
    <xf numFmtId="190" fontId="22" fillId="0" borderId="0" xfId="0" applyNumberFormat="1" applyFont="1" applyFill="1" applyAlignment="1">
      <alignment/>
    </xf>
    <xf numFmtId="188" fontId="0" fillId="0" borderId="0" xfId="0" applyNumberFormat="1" applyFill="1" applyAlignment="1">
      <alignment horizontal="center" vertical="center" wrapText="1"/>
    </xf>
    <xf numFmtId="188" fontId="0" fillId="0" borderId="0" xfId="0" applyNumberFormat="1" applyFill="1" applyAlignment="1">
      <alignment horizontal="right"/>
    </xf>
    <xf numFmtId="188" fontId="2" fillId="0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181" fontId="4" fillId="0" borderId="11" xfId="64" applyNumberFormat="1" applyFont="1" applyFill="1" applyBorder="1" applyAlignment="1">
      <alignment horizontal="center" vertical="center" wrapText="1"/>
    </xf>
    <xf numFmtId="190" fontId="7" fillId="0" borderId="0" xfId="0" applyNumberFormat="1" applyFont="1" applyAlignment="1">
      <alignment/>
    </xf>
    <xf numFmtId="181" fontId="3" fillId="0" borderId="11" xfId="64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1" fontId="4" fillId="0" borderId="11" xfId="6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64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7" fillId="0" borderId="0" xfId="0" applyFont="1" applyAlignment="1">
      <alignment horizontal="left"/>
    </xf>
    <xf numFmtId="4" fontId="4" fillId="37" borderId="11" xfId="62" applyNumberFormat="1" applyFont="1" applyFill="1" applyBorder="1" applyAlignment="1">
      <alignment horizontal="center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4" fontId="3" fillId="37" borderId="11" xfId="62" applyNumberFormat="1" applyFont="1" applyFill="1" applyBorder="1" applyAlignment="1">
      <alignment horizontal="center" vertical="center" wrapText="1"/>
    </xf>
    <xf numFmtId="4" fontId="3" fillId="0" borderId="11" xfId="64" applyNumberFormat="1" applyFont="1" applyFill="1" applyBorder="1" applyAlignment="1">
      <alignment horizontal="center" vertical="center" wrapText="1"/>
    </xf>
    <xf numFmtId="4" fontId="4" fillId="0" borderId="11" xfId="62" applyNumberFormat="1" applyFont="1" applyFill="1" applyBorder="1" applyAlignment="1">
      <alignment horizontal="center" vertical="center" wrapText="1"/>
    </xf>
    <xf numFmtId="4" fontId="3" fillId="0" borderId="11" xfId="62" applyNumberFormat="1" applyFont="1" applyFill="1" applyBorder="1" applyAlignment="1">
      <alignment horizontal="center" vertical="center" wrapText="1"/>
    </xf>
    <xf numFmtId="4" fontId="3" fillId="0" borderId="11" xfId="62" applyNumberFormat="1" applyFont="1" applyFill="1" applyBorder="1" applyAlignment="1">
      <alignment horizontal="center" vertical="center" wrapText="1"/>
    </xf>
    <xf numFmtId="4" fontId="3" fillId="0" borderId="11" xfId="64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64" applyNumberFormat="1" applyFont="1" applyFill="1" applyBorder="1" applyAlignment="1">
      <alignment horizontal="center" vertical="center" wrapText="1"/>
    </xf>
    <xf numFmtId="4" fontId="4" fillId="0" borderId="11" xfId="64" applyNumberFormat="1" applyFont="1" applyFill="1" applyBorder="1" applyAlignment="1">
      <alignment horizontal="center" vertical="center" wrapText="1"/>
    </xf>
    <xf numFmtId="4" fontId="21" fillId="0" borderId="11" xfId="64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190" fontId="3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190" fontId="17" fillId="0" borderId="11" xfId="0" applyNumberFormat="1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90" fontId="4" fillId="0" borderId="14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190" fontId="3" fillId="0" borderId="14" xfId="0" applyNumberFormat="1" applyFont="1" applyFill="1" applyBorder="1" applyAlignment="1">
      <alignment horizontal="center" vertical="center" wrapText="1"/>
    </xf>
    <xf numFmtId="190" fontId="3" fillId="37" borderId="11" xfId="0" applyNumberFormat="1" applyFont="1" applyFill="1" applyBorder="1" applyAlignment="1">
      <alignment horizontal="center" vertical="center" wrapText="1"/>
    </xf>
    <xf numFmtId="190" fontId="21" fillId="0" borderId="14" xfId="0" applyNumberFormat="1" applyFont="1" applyFill="1" applyBorder="1" applyAlignment="1">
      <alignment horizontal="center" vertical="center" wrapText="1"/>
    </xf>
    <xf numFmtId="190" fontId="21" fillId="0" borderId="11" xfId="0" applyNumberFormat="1" applyFont="1" applyFill="1" applyBorder="1" applyAlignment="1">
      <alignment horizontal="center" vertical="center" wrapText="1"/>
    </xf>
    <xf numFmtId="190" fontId="21" fillId="37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 shrinkToFit="1"/>
    </xf>
    <xf numFmtId="190" fontId="4" fillId="3" borderId="14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90" fontId="4" fillId="37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90" fontId="3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vertical="top" wrapText="1"/>
    </xf>
    <xf numFmtId="190" fontId="30" fillId="0" borderId="14" xfId="0" applyNumberFormat="1" applyFont="1" applyFill="1" applyBorder="1" applyAlignment="1">
      <alignment horizontal="center" vertical="center" wrapText="1"/>
    </xf>
    <xf numFmtId="190" fontId="30" fillId="37" borderId="11" xfId="0" applyNumberFormat="1" applyFont="1" applyFill="1" applyBorder="1" applyAlignment="1">
      <alignment horizontal="center" vertical="center" wrapText="1"/>
    </xf>
    <xf numFmtId="190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0" fontId="18" fillId="3" borderId="11" xfId="0" applyFont="1" applyFill="1" applyBorder="1" applyAlignment="1">
      <alignment vertical="center" wrapText="1"/>
    </xf>
    <xf numFmtId="49" fontId="18" fillId="3" borderId="11" xfId="0" applyNumberFormat="1" applyFont="1" applyFill="1" applyBorder="1" applyAlignment="1">
      <alignment horizontal="center" vertical="center" wrapText="1" shrinkToFit="1"/>
    </xf>
    <xf numFmtId="190" fontId="4" fillId="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right"/>
    </xf>
    <xf numFmtId="190" fontId="32" fillId="0" borderId="11" xfId="0" applyNumberFormat="1" applyFont="1" applyFill="1" applyBorder="1" applyAlignment="1">
      <alignment horizontal="right"/>
    </xf>
    <xf numFmtId="190" fontId="21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90" fontId="0" fillId="0" borderId="11" xfId="0" applyNumberFormat="1" applyFont="1" applyFill="1" applyBorder="1" applyAlignment="1">
      <alignment horizontal="right"/>
    </xf>
    <xf numFmtId="2" fontId="3" fillId="37" borderId="14" xfId="0" applyNumberFormat="1" applyFont="1" applyFill="1" applyBorder="1" applyAlignment="1">
      <alignment horizontal="center" vertical="center" wrapText="1"/>
    </xf>
    <xf numFmtId="190" fontId="21" fillId="0" borderId="15" xfId="0" applyNumberFormat="1" applyFont="1" applyFill="1" applyBorder="1" applyAlignment="1">
      <alignment horizontal="center" vertical="center" wrapText="1"/>
    </xf>
    <xf numFmtId="190" fontId="3" fillId="0" borderId="15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vertical="center" wrapText="1"/>
    </xf>
    <xf numFmtId="49" fontId="30" fillId="39" borderId="11" xfId="0" applyNumberFormat="1" applyFont="1" applyFill="1" applyBorder="1" applyAlignment="1">
      <alignment horizontal="center" vertical="center" wrapText="1" shrinkToFit="1"/>
    </xf>
    <xf numFmtId="190" fontId="30" fillId="39" borderId="14" xfId="0" applyNumberFormat="1" applyFont="1" applyFill="1" applyBorder="1" applyAlignment="1">
      <alignment horizontal="center" vertical="center" wrapText="1"/>
    </xf>
    <xf numFmtId="190" fontId="30" fillId="39" borderId="11" xfId="0" applyNumberFormat="1" applyFont="1" applyFill="1" applyBorder="1" applyAlignment="1">
      <alignment horizontal="center" vertical="center" wrapText="1"/>
    </xf>
    <xf numFmtId="2" fontId="30" fillId="39" borderId="11" xfId="0" applyNumberFormat="1" applyFont="1" applyFill="1" applyBorder="1" applyAlignment="1">
      <alignment horizontal="center" vertical="center" wrapText="1"/>
    </xf>
    <xf numFmtId="0" fontId="30" fillId="39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vertical="center" wrapText="1"/>
    </xf>
    <xf numFmtId="49" fontId="3" fillId="31" borderId="11" xfId="0" applyNumberFormat="1" applyFont="1" applyFill="1" applyBorder="1" applyAlignment="1">
      <alignment horizontal="center" vertical="center" wrapText="1" shrinkToFit="1"/>
    </xf>
    <xf numFmtId="190" fontId="3" fillId="31" borderId="14" xfId="0" applyNumberFormat="1" applyFont="1" applyFill="1" applyBorder="1" applyAlignment="1">
      <alignment horizontal="center" vertical="center" wrapText="1"/>
    </xf>
    <xf numFmtId="190" fontId="3" fillId="31" borderId="11" xfId="0" applyNumberFormat="1" applyFont="1" applyFill="1" applyBorder="1" applyAlignment="1">
      <alignment horizontal="center" vertical="center" wrapText="1"/>
    </xf>
    <xf numFmtId="2" fontId="3" fillId="31" borderId="11" xfId="0" applyNumberFormat="1" applyFont="1" applyFill="1" applyBorder="1" applyAlignment="1">
      <alignment horizontal="center" vertical="center" wrapText="1"/>
    </xf>
    <xf numFmtId="4" fontId="18" fillId="31" borderId="11" xfId="0" applyNumberFormat="1" applyFont="1" applyFill="1" applyBorder="1" applyAlignment="1">
      <alignment horizontal="center" vertical="center" wrapText="1"/>
    </xf>
    <xf numFmtId="0" fontId="21" fillId="31" borderId="11" xfId="0" applyFont="1" applyFill="1" applyBorder="1" applyAlignment="1">
      <alignment vertical="center" wrapText="1"/>
    </xf>
    <xf numFmtId="49" fontId="21" fillId="31" borderId="11" xfId="0" applyNumberFormat="1" applyFont="1" applyFill="1" applyBorder="1" applyAlignment="1">
      <alignment horizontal="center" vertical="center" wrapText="1" shrinkToFit="1"/>
    </xf>
    <xf numFmtId="190" fontId="21" fillId="31" borderId="14" xfId="0" applyNumberFormat="1" applyFont="1" applyFill="1" applyBorder="1" applyAlignment="1">
      <alignment horizontal="center" vertical="center" wrapText="1"/>
    </xf>
    <xf numFmtId="190" fontId="21" fillId="31" borderId="11" xfId="0" applyNumberFormat="1" applyFont="1" applyFill="1" applyBorder="1" applyAlignment="1">
      <alignment horizontal="center" vertical="center" wrapText="1"/>
    </xf>
    <xf numFmtId="2" fontId="21" fillId="31" borderId="11" xfId="0" applyNumberFormat="1" applyFont="1" applyFill="1" applyBorder="1" applyAlignment="1">
      <alignment horizontal="center" vertical="center" wrapText="1"/>
    </xf>
    <xf numFmtId="4" fontId="17" fillId="31" borderId="11" xfId="0" applyNumberFormat="1" applyFont="1" applyFill="1" applyBorder="1" applyAlignment="1">
      <alignment horizontal="center" vertical="center" wrapText="1"/>
    </xf>
    <xf numFmtId="188" fontId="28" fillId="31" borderId="11" xfId="0" applyNumberFormat="1" applyFont="1" applyFill="1" applyBorder="1" applyAlignment="1">
      <alignment horizontal="center" vertical="center" wrapText="1"/>
    </xf>
    <xf numFmtId="4" fontId="28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left" vertical="top" wrapText="1"/>
    </xf>
    <xf numFmtId="188" fontId="3" fillId="31" borderId="11" xfId="0" applyNumberFormat="1" applyFont="1" applyFill="1" applyBorder="1" applyAlignment="1">
      <alignment horizontal="center" vertical="center" wrapText="1"/>
    </xf>
    <xf numFmtId="0" fontId="30" fillId="31" borderId="11" xfId="0" applyFont="1" applyFill="1" applyBorder="1" applyAlignment="1">
      <alignment vertical="center" wrapText="1"/>
    </xf>
    <xf numFmtId="49" fontId="30" fillId="31" borderId="11" xfId="0" applyNumberFormat="1" applyFont="1" applyFill="1" applyBorder="1" applyAlignment="1">
      <alignment horizontal="center" vertical="center" wrapText="1" shrinkToFit="1"/>
    </xf>
    <xf numFmtId="190" fontId="30" fillId="31" borderId="14" xfId="0" applyNumberFormat="1" applyFont="1" applyFill="1" applyBorder="1" applyAlignment="1">
      <alignment horizontal="center" vertical="center" wrapText="1"/>
    </xf>
    <xf numFmtId="2" fontId="30" fillId="31" borderId="11" xfId="0" applyNumberFormat="1" applyFont="1" applyFill="1" applyBorder="1" applyAlignment="1">
      <alignment horizontal="center" vertical="center" wrapText="1"/>
    </xf>
    <xf numFmtId="0" fontId="30" fillId="31" borderId="11" xfId="0" applyFont="1" applyFill="1" applyBorder="1" applyAlignment="1">
      <alignment vertical="top" wrapText="1"/>
    </xf>
    <xf numFmtId="190" fontId="30" fillId="31" borderId="11" xfId="0" applyNumberFormat="1" applyFont="1" applyFill="1" applyBorder="1" applyAlignment="1">
      <alignment horizontal="center" vertical="center" wrapText="1"/>
    </xf>
    <xf numFmtId="188" fontId="34" fillId="31" borderId="11" xfId="0" applyNumberFormat="1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vertical="center" wrapText="1"/>
    </xf>
    <xf numFmtId="49" fontId="4" fillId="31" borderId="11" xfId="0" applyNumberFormat="1" applyFont="1" applyFill="1" applyBorder="1" applyAlignment="1">
      <alignment horizontal="center" vertical="center" wrapText="1" shrinkToFit="1"/>
    </xf>
    <xf numFmtId="190" fontId="4" fillId="31" borderId="14" xfId="0" applyNumberFormat="1" applyFont="1" applyFill="1" applyBorder="1" applyAlignment="1">
      <alignment horizontal="center" vertical="center" wrapText="1"/>
    </xf>
    <xf numFmtId="2" fontId="4" fillId="31" borderId="11" xfId="0" applyNumberFormat="1" applyFont="1" applyFill="1" applyBorder="1" applyAlignment="1">
      <alignment horizontal="center" vertical="center" wrapText="1"/>
    </xf>
    <xf numFmtId="188" fontId="88" fillId="31" borderId="11" xfId="0" applyNumberFormat="1" applyFont="1" applyFill="1" applyBorder="1" applyAlignment="1">
      <alignment horizontal="center" vertical="center" wrapText="1"/>
    </xf>
    <xf numFmtId="188" fontId="86" fillId="31" borderId="11" xfId="0" applyNumberFormat="1" applyFont="1" applyFill="1" applyBorder="1" applyAlignment="1">
      <alignment horizontal="center" vertical="center" wrapText="1"/>
    </xf>
    <xf numFmtId="188" fontId="84" fillId="31" borderId="11" xfId="0" applyNumberFormat="1" applyFont="1" applyFill="1" applyBorder="1" applyAlignment="1">
      <alignment horizontal="center" vertical="center" wrapText="1"/>
    </xf>
    <xf numFmtId="0" fontId="89" fillId="31" borderId="1" xfId="33" applyNumberFormat="1" applyFont="1" applyFill="1" applyProtection="1">
      <alignment vertical="top" wrapText="1"/>
      <protection/>
    </xf>
    <xf numFmtId="0" fontId="39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 shrinkToFit="1"/>
    </xf>
    <xf numFmtId="49" fontId="26" fillId="31" borderId="11" xfId="0" applyNumberFormat="1" applyFont="1" applyFill="1" applyBorder="1" applyAlignment="1">
      <alignment horizontal="center" vertical="center" wrapText="1" shrinkToFit="1"/>
    </xf>
    <xf numFmtId="49" fontId="35" fillId="31" borderId="11" xfId="0" applyNumberFormat="1" applyFont="1" applyFill="1" applyBorder="1" applyAlignment="1">
      <alignment horizontal="center" vertical="center" wrapText="1" shrinkToFit="1"/>
    </xf>
    <xf numFmtId="49" fontId="9" fillId="31" borderId="11" xfId="0" applyNumberFormat="1" applyFont="1" applyFill="1" applyBorder="1" applyAlignment="1">
      <alignment horizontal="center" vertical="center" wrapText="1" shrinkToFit="1"/>
    </xf>
    <xf numFmtId="49" fontId="9" fillId="3" borderId="11" xfId="0" applyNumberFormat="1" applyFont="1" applyFill="1" applyBorder="1" applyAlignment="1">
      <alignment horizontal="center" vertical="center" wrapText="1" shrinkToFit="1"/>
    </xf>
    <xf numFmtId="49" fontId="35" fillId="39" borderId="11" xfId="0" applyNumberFormat="1" applyFont="1" applyFill="1" applyBorder="1" applyAlignment="1">
      <alignment horizontal="center" vertical="center" wrapText="1" shrinkToFit="1"/>
    </xf>
    <xf numFmtId="4" fontId="17" fillId="39" borderId="11" xfId="0" applyNumberFormat="1" applyFont="1" applyFill="1" applyBorder="1" applyAlignment="1">
      <alignment horizontal="center" vertical="center" wrapText="1"/>
    </xf>
    <xf numFmtId="188" fontId="18" fillId="31" borderId="11" xfId="0" applyNumberFormat="1" applyFont="1" applyFill="1" applyBorder="1" applyAlignment="1">
      <alignment horizontal="center" vertical="center" wrapText="1"/>
    </xf>
    <xf numFmtId="190" fontId="4" fillId="31" borderId="11" xfId="0" applyNumberFormat="1" applyFont="1" applyFill="1" applyBorder="1" applyAlignment="1">
      <alignment horizontal="center" vertical="center" wrapText="1"/>
    </xf>
    <xf numFmtId="0" fontId="22" fillId="31" borderId="0" xfId="0" applyFont="1" applyFill="1" applyAlignment="1">
      <alignment/>
    </xf>
    <xf numFmtId="0" fontId="0" fillId="31" borderId="0" xfId="0" applyFill="1" applyAlignment="1">
      <alignment/>
    </xf>
    <xf numFmtId="19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0" fontId="35" fillId="0" borderId="14" xfId="0" applyNumberFormat="1" applyFont="1" applyFill="1" applyBorder="1" applyAlignment="1">
      <alignment horizontal="center" vertical="center" wrapText="1"/>
    </xf>
    <xf numFmtId="190" fontId="26" fillId="0" borderId="16" xfId="0" applyNumberFormat="1" applyFont="1" applyFill="1" applyBorder="1" applyAlignment="1">
      <alignment horizontal="center" vertical="center" wrapText="1"/>
    </xf>
    <xf numFmtId="190" fontId="10" fillId="0" borderId="16" xfId="0" applyNumberFormat="1" applyFont="1" applyFill="1" applyBorder="1" applyAlignment="1">
      <alignment horizontal="center" vertical="center" wrapText="1"/>
    </xf>
    <xf numFmtId="190" fontId="26" fillId="0" borderId="14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top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0" fontId="9" fillId="0" borderId="14" xfId="0" applyNumberFormat="1" applyFont="1" applyFill="1" applyBorder="1" applyAlignment="1">
      <alignment horizontal="center" vertical="center" wrapText="1"/>
    </xf>
    <xf numFmtId="190" fontId="26" fillId="0" borderId="11" xfId="0" applyNumberFormat="1" applyFont="1" applyFill="1" applyBorder="1" applyAlignment="1">
      <alignment horizontal="center" vertical="center"/>
    </xf>
    <xf numFmtId="190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90" fontId="2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90" fontId="29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 horizontal="right"/>
    </xf>
    <xf numFmtId="181" fontId="9" fillId="0" borderId="11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26" fillId="0" borderId="11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Alignment="1">
      <alignment/>
    </xf>
    <xf numFmtId="190" fontId="26" fillId="31" borderId="11" xfId="0" applyNumberFormat="1" applyFont="1" applyFill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vertical="center" wrapText="1"/>
    </xf>
    <xf numFmtId="181" fontId="10" fillId="31" borderId="11" xfId="0" applyNumberFormat="1" applyFont="1" applyFill="1" applyBorder="1" applyAlignment="1">
      <alignment horizontal="center" vertical="center" wrapText="1"/>
    </xf>
    <xf numFmtId="190" fontId="9" fillId="31" borderId="11" xfId="0" applyNumberFormat="1" applyFont="1" applyFill="1" applyBorder="1" applyAlignment="1">
      <alignment horizontal="center" vertical="center" wrapText="1"/>
    </xf>
    <xf numFmtId="190" fontId="9" fillId="31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90" fontId="10" fillId="37" borderId="11" xfId="0" applyNumberFormat="1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left" vertical="top" wrapText="1"/>
    </xf>
    <xf numFmtId="0" fontId="9" fillId="31" borderId="11" xfId="0" applyFont="1" applyFill="1" applyBorder="1" applyAlignment="1">
      <alignment vertical="center" wrapText="1"/>
    </xf>
    <xf numFmtId="49" fontId="9" fillId="31" borderId="11" xfId="0" applyNumberFormat="1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9" fillId="31" borderId="11" xfId="0" applyFont="1" applyFill="1" applyBorder="1" applyAlignment="1">
      <alignment horizontal="left" vertical="center" wrapText="1"/>
    </xf>
    <xf numFmtId="181" fontId="9" fillId="31" borderId="11" xfId="0" applyNumberFormat="1" applyFont="1" applyFill="1" applyBorder="1" applyAlignment="1">
      <alignment horizontal="center" vertical="center" wrapText="1"/>
    </xf>
    <xf numFmtId="49" fontId="9" fillId="31" borderId="11" xfId="0" applyNumberFormat="1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left" vertical="center" wrapText="1"/>
    </xf>
    <xf numFmtId="49" fontId="9" fillId="45" borderId="11" xfId="0" applyNumberFormat="1" applyFont="1" applyFill="1" applyBorder="1" applyAlignment="1">
      <alignment horizontal="center" vertical="center" wrapText="1"/>
    </xf>
    <xf numFmtId="190" fontId="9" fillId="45" borderId="11" xfId="0" applyNumberFormat="1" applyFont="1" applyFill="1" applyBorder="1" applyAlignment="1">
      <alignment horizontal="center" vertical="center" wrapText="1"/>
    </xf>
    <xf numFmtId="181" fontId="10" fillId="45" borderId="11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70" fontId="3" fillId="0" borderId="0" xfId="44" applyFont="1" applyAlignment="1">
      <alignment horizontal="right"/>
    </xf>
    <xf numFmtId="0" fontId="0" fillId="0" borderId="0" xfId="0" applyAlignment="1">
      <alignment horizontal="right"/>
    </xf>
    <xf numFmtId="0" fontId="10" fillId="37" borderId="11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left" vertical="justify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2" fontId="10" fillId="0" borderId="1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3" fillId="37" borderId="14" xfId="0" applyFont="1" applyFill="1" applyBorder="1" applyAlignment="1">
      <alignment horizontal="center" vertical="justify" wrapText="1"/>
    </xf>
    <xf numFmtId="0" fontId="3" fillId="37" borderId="13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8" fontId="10" fillId="0" borderId="19" xfId="0" applyNumberFormat="1" applyFont="1" applyFill="1" applyBorder="1" applyAlignment="1">
      <alignment horizontal="center" vertical="center" wrapText="1"/>
    </xf>
    <xf numFmtId="188" fontId="10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 wrapText="1"/>
    </xf>
    <xf numFmtId="188" fontId="2" fillId="0" borderId="14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distributed" wrapText="1"/>
    </xf>
    <xf numFmtId="0" fontId="10" fillId="0" borderId="15" xfId="0" applyFont="1" applyFill="1" applyBorder="1" applyAlignment="1">
      <alignment horizontal="center" vertical="distributed" wrapText="1"/>
    </xf>
    <xf numFmtId="0" fontId="10" fillId="0" borderId="17" xfId="0" applyFont="1" applyFill="1" applyBorder="1" applyAlignment="1">
      <alignment horizontal="center" vertical="distributed" wrapText="1"/>
    </xf>
    <xf numFmtId="0" fontId="10" fillId="0" borderId="15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right"/>
    </xf>
    <xf numFmtId="188" fontId="10" fillId="0" borderId="11" xfId="0" applyNumberFormat="1" applyFont="1" applyFill="1" applyBorder="1" applyAlignment="1">
      <alignment horizontal="center" vertical="distributed" wrapText="1"/>
    </xf>
    <xf numFmtId="181" fontId="10" fillId="0" borderId="11" xfId="0" applyNumberFormat="1" applyFont="1" applyFill="1" applyBorder="1" applyAlignment="1">
      <alignment horizontal="center" vertical="distributed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24.625" style="0" customWidth="1"/>
    <col min="2" max="2" width="45.25390625" style="0" customWidth="1"/>
    <col min="3" max="3" width="17.375" style="0" customWidth="1"/>
    <col min="4" max="4" width="14.25390625" style="0" customWidth="1"/>
    <col min="5" max="5" width="14.875" style="0" hidden="1" customWidth="1"/>
  </cols>
  <sheetData>
    <row r="1" spans="1:5" ht="15.75">
      <c r="A1" s="14"/>
      <c r="B1" s="19"/>
      <c r="C1" s="379" t="s">
        <v>684</v>
      </c>
      <c r="D1" s="380"/>
      <c r="E1" s="13"/>
    </row>
    <row r="2" spans="1:5" ht="16.5" customHeight="1">
      <c r="A2" s="14"/>
      <c r="B2" s="379" t="s">
        <v>343</v>
      </c>
      <c r="C2" s="380"/>
      <c r="D2" s="380"/>
      <c r="E2" s="13"/>
    </row>
    <row r="3" spans="1:5" ht="16.5" customHeight="1">
      <c r="A3" s="14"/>
      <c r="B3" s="381" t="s">
        <v>344</v>
      </c>
      <c r="C3" s="381"/>
      <c r="D3" s="382"/>
      <c r="E3" s="382"/>
    </row>
    <row r="4" spans="1:5" s="46" customFormat="1" ht="16.5" customHeight="1">
      <c r="A4" s="14"/>
      <c r="B4" s="379" t="s">
        <v>685</v>
      </c>
      <c r="C4" s="379"/>
      <c r="D4" s="382"/>
      <c r="E4" s="382"/>
    </row>
    <row r="5" spans="1:3" ht="16.5" customHeight="1">
      <c r="A5" s="14"/>
      <c r="B5" s="13"/>
      <c r="C5" s="13"/>
    </row>
    <row r="6" spans="1:5" ht="22.5" customHeight="1">
      <c r="A6" s="384" t="s">
        <v>586</v>
      </c>
      <c r="B6" s="384"/>
      <c r="C6" s="384"/>
      <c r="D6" s="384"/>
      <c r="E6" s="384"/>
    </row>
    <row r="7" spans="1:5" ht="15.75" customHeight="1">
      <c r="A7" s="89"/>
      <c r="B7" s="89"/>
      <c r="C7" s="86"/>
      <c r="D7" s="86" t="s">
        <v>282</v>
      </c>
      <c r="E7" s="86"/>
    </row>
    <row r="8" spans="1:3" ht="3.75" customHeight="1" hidden="1">
      <c r="A8" s="63" t="s">
        <v>258</v>
      </c>
      <c r="B8" s="64"/>
      <c r="C8" s="64"/>
    </row>
    <row r="9" spans="1:4" ht="16.5" customHeight="1">
      <c r="A9" s="383" t="s">
        <v>103</v>
      </c>
      <c r="B9" s="383" t="s">
        <v>683</v>
      </c>
      <c r="C9" s="383" t="s">
        <v>587</v>
      </c>
      <c r="D9" s="383" t="s">
        <v>588</v>
      </c>
    </row>
    <row r="10" spans="1:4" ht="16.5" customHeight="1">
      <c r="A10" s="383"/>
      <c r="B10" s="383"/>
      <c r="C10" s="383"/>
      <c r="D10" s="383"/>
    </row>
    <row r="11" spans="1:4" ht="22.5" customHeight="1">
      <c r="A11" s="383"/>
      <c r="B11" s="383"/>
      <c r="C11" s="383"/>
      <c r="D11" s="383"/>
    </row>
    <row r="12" spans="1:4" ht="34.5" customHeight="1">
      <c r="A12" s="91" t="s">
        <v>247</v>
      </c>
      <c r="B12" s="65" t="s">
        <v>248</v>
      </c>
      <c r="C12" s="66">
        <f>C13+C14</f>
        <v>-1632.8959600000017</v>
      </c>
      <c r="D12" s="66">
        <f>D13+D14</f>
        <v>-10040.621350000001</v>
      </c>
    </row>
    <row r="13" spans="1:4" ht="52.5" customHeight="1">
      <c r="A13" s="58" t="s">
        <v>249</v>
      </c>
      <c r="B13" s="67" t="s">
        <v>250</v>
      </c>
      <c r="C13" s="209">
        <f>15660</f>
        <v>15660</v>
      </c>
      <c r="D13" s="85">
        <v>9000</v>
      </c>
    </row>
    <row r="14" spans="1:4" ht="50.25" customHeight="1">
      <c r="A14" s="90" t="s">
        <v>251</v>
      </c>
      <c r="B14" s="68" t="s">
        <v>252</v>
      </c>
      <c r="C14" s="209">
        <f>-11000+(-6292.89596)</f>
        <v>-17292.89596</v>
      </c>
      <c r="D14" s="85">
        <v>-19040.62135</v>
      </c>
    </row>
    <row r="15" spans="1:4" ht="51" customHeight="1">
      <c r="A15" s="91" t="s">
        <v>253</v>
      </c>
      <c r="B15" s="65" t="s">
        <v>254</v>
      </c>
      <c r="C15" s="66">
        <f>C16+C17</f>
        <v>5032.89596</v>
      </c>
      <c r="D15" s="66">
        <f>D16+D17</f>
        <v>5032.89596</v>
      </c>
    </row>
    <row r="16" spans="1:4" ht="63" customHeight="1">
      <c r="A16" s="90" t="s">
        <v>198</v>
      </c>
      <c r="B16" s="69" t="s">
        <v>259</v>
      </c>
      <c r="C16" s="210">
        <v>6292.89596</v>
      </c>
      <c r="D16" s="210">
        <v>6292.89596</v>
      </c>
    </row>
    <row r="17" spans="1:4" ht="78.75" customHeight="1">
      <c r="A17" s="70" t="s">
        <v>199</v>
      </c>
      <c r="B17" s="71" t="s">
        <v>260</v>
      </c>
      <c r="C17" s="211">
        <v>-1260</v>
      </c>
      <c r="D17" s="211">
        <v>-1260</v>
      </c>
    </row>
    <row r="18" spans="1:4" ht="36" customHeight="1">
      <c r="A18" s="91" t="s">
        <v>296</v>
      </c>
      <c r="B18" s="65" t="s">
        <v>297</v>
      </c>
      <c r="C18" s="102">
        <f>C19+C20</f>
        <v>26933.605280000018</v>
      </c>
      <c r="D18" s="102">
        <f>D19+D20</f>
        <v>-2085.4508499999065</v>
      </c>
    </row>
    <row r="19" spans="1:4" ht="36" customHeight="1">
      <c r="A19" s="58" t="s">
        <v>0</v>
      </c>
      <c r="B19" s="67" t="s">
        <v>1</v>
      </c>
      <c r="C19" s="212">
        <f>(-566064.22906)+1895.964+(-0.0003)+(-47813.25432)+(-3106.391)+(-60069.01)+(-4478.433)+11100+(-960)+(-1103)+(-9986.44089)+804+(-7614.3828)+(-55965.47568)+(-6292.89596)</f>
        <v>-749653.5490099998</v>
      </c>
      <c r="D19" s="213">
        <v>-718325.62955</v>
      </c>
    </row>
    <row r="20" spans="1:4" ht="39" customHeight="1">
      <c r="A20" s="58" t="s">
        <v>2</v>
      </c>
      <c r="B20" s="67" t="s">
        <v>3</v>
      </c>
      <c r="C20" s="209">
        <f>566064.22906+25037.64128+0.0003+47813.25432+3106.391+60069.01+4478.433-11100+960+1103+9986.44089-804+7614.3828+55965.47568+6292.89596</f>
        <v>776587.1542899999</v>
      </c>
      <c r="D20" s="117">
        <v>716240.1787</v>
      </c>
    </row>
    <row r="21" spans="1:4" ht="19.5" customHeight="1">
      <c r="A21" s="91"/>
      <c r="B21" s="72" t="s">
        <v>261</v>
      </c>
      <c r="C21" s="59">
        <f>C12+C15+C18</f>
        <v>30333.605280000018</v>
      </c>
      <c r="D21" s="59">
        <f>D12+D15+D18</f>
        <v>-7093.176239999908</v>
      </c>
    </row>
    <row r="22" spans="1:3" s="2" customFormat="1" ht="32.25" customHeight="1">
      <c r="A22"/>
      <c r="B22"/>
      <c r="C22"/>
    </row>
    <row r="23" spans="1:3" s="3" customFormat="1" ht="12.75">
      <c r="A23"/>
      <c r="B23"/>
      <c r="C23"/>
    </row>
  </sheetData>
  <sheetProtection/>
  <mergeCells count="9">
    <mergeCell ref="C1:D1"/>
    <mergeCell ref="B2:D2"/>
    <mergeCell ref="B3:E3"/>
    <mergeCell ref="B4:E4"/>
    <mergeCell ref="D9:D11"/>
    <mergeCell ref="A6:E6"/>
    <mergeCell ref="A9:A11"/>
    <mergeCell ref="B9:B11"/>
    <mergeCell ref="C9:C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2"/>
  <sheetViews>
    <sheetView view="pageBreakPreview" zoomScale="80" zoomScaleSheetLayoutView="80" zoomScalePageLayoutView="0" workbookViewId="0" topLeftCell="A1">
      <pane xSplit="1" ySplit="9" topLeftCell="B106" activePane="bottomRight" state="frozen"/>
      <selection pane="topLeft" activeCell="L5" sqref="L5"/>
      <selection pane="topRight" activeCell="L5" sqref="L5"/>
      <selection pane="bottomLeft" activeCell="L5" sqref="L5"/>
      <selection pane="bottomRight" activeCell="H5" sqref="H5"/>
    </sheetView>
  </sheetViews>
  <sheetFormatPr defaultColWidth="8.875" defaultRowHeight="12.75"/>
  <cols>
    <col min="1" max="1" width="25.875" style="194" customWidth="1"/>
    <col min="2" max="2" width="9.125" style="179" customWidth="1"/>
    <col min="3" max="3" width="47.625" style="179" customWidth="1"/>
    <col min="4" max="4" width="17.375" style="180" customWidth="1"/>
    <col min="5" max="5" width="17.625" style="180" customWidth="1"/>
    <col min="6" max="6" width="13.75390625" style="16" customWidth="1"/>
    <col min="7" max="7" width="13.625" style="16" bestFit="1" customWidth="1"/>
    <col min="8" max="8" width="8.875" style="16" customWidth="1"/>
    <col min="9" max="9" width="15.375" style="16" bestFit="1" customWidth="1"/>
    <col min="10" max="16384" width="8.875" style="16" customWidth="1"/>
  </cols>
  <sheetData>
    <row r="1" spans="1:6" ht="15.75">
      <c r="A1" s="11"/>
      <c r="B1" s="178"/>
      <c r="E1" s="171"/>
      <c r="F1" s="6" t="s">
        <v>394</v>
      </c>
    </row>
    <row r="2" spans="1:6" ht="15.75">
      <c r="A2" s="11"/>
      <c r="B2" s="178"/>
      <c r="E2" s="379" t="s">
        <v>343</v>
      </c>
      <c r="F2" s="379"/>
    </row>
    <row r="3" spans="1:6" ht="15.75">
      <c r="A3" s="11"/>
      <c r="B3" s="178"/>
      <c r="E3" s="17"/>
      <c r="F3" s="6" t="s">
        <v>344</v>
      </c>
    </row>
    <row r="4" spans="1:6" ht="13.5" customHeight="1">
      <c r="A4" s="11"/>
      <c r="B4" s="178"/>
      <c r="D4" s="379" t="s">
        <v>686</v>
      </c>
      <c r="E4" s="379"/>
      <c r="F4" s="379"/>
    </row>
    <row r="5" spans="1:4" ht="15.75">
      <c r="A5" s="11"/>
      <c r="B5" s="178"/>
      <c r="C5" s="178"/>
      <c r="D5" s="181"/>
    </row>
    <row r="6" spans="1:6" ht="20.25" customHeight="1">
      <c r="A6" s="403" t="s">
        <v>549</v>
      </c>
      <c r="B6" s="403"/>
      <c r="C6" s="403"/>
      <c r="D6" s="403"/>
      <c r="E6" s="403"/>
      <c r="F6" s="403"/>
    </row>
    <row r="7" spans="1:6" ht="15" customHeight="1">
      <c r="A7" s="12"/>
      <c r="B7" s="402"/>
      <c r="C7" s="402"/>
      <c r="D7" s="182"/>
      <c r="F7" s="339" t="s">
        <v>282</v>
      </c>
    </row>
    <row r="8" spans="1:6" ht="15" customHeight="1">
      <c r="A8" s="401" t="s">
        <v>103</v>
      </c>
      <c r="B8" s="401" t="s">
        <v>285</v>
      </c>
      <c r="C8" s="401"/>
      <c r="D8" s="396" t="s">
        <v>550</v>
      </c>
      <c r="E8" s="396" t="s">
        <v>551</v>
      </c>
      <c r="F8" s="396" t="s">
        <v>547</v>
      </c>
    </row>
    <row r="9" spans="1:6" ht="37.5" customHeight="1">
      <c r="A9" s="401"/>
      <c r="B9" s="401"/>
      <c r="C9" s="401"/>
      <c r="D9" s="396"/>
      <c r="E9" s="396"/>
      <c r="F9" s="396"/>
    </row>
    <row r="10" spans="1:9" ht="31.5" customHeight="1">
      <c r="A10" s="183" t="s">
        <v>201</v>
      </c>
      <c r="B10" s="399" t="s">
        <v>202</v>
      </c>
      <c r="C10" s="400"/>
      <c r="D10" s="195">
        <f>D11+D13+D15+D19+D21+D30+D32+D35+D40+D42</f>
        <v>239039.32805</v>
      </c>
      <c r="E10" s="196">
        <f>E11+E13+E15+E19+E21+E30+E32+E35+E40+E42+E41</f>
        <v>222906.19639</v>
      </c>
      <c r="F10" s="184">
        <f>E10/D10*100</f>
        <v>93.25084629729822</v>
      </c>
      <c r="I10" s="185"/>
    </row>
    <row r="11" spans="1:6" ht="27" customHeight="1">
      <c r="A11" s="183" t="s">
        <v>203</v>
      </c>
      <c r="B11" s="389" t="s">
        <v>214</v>
      </c>
      <c r="C11" s="393"/>
      <c r="D11" s="195">
        <f>SUM(D12)</f>
        <v>180807.22805</v>
      </c>
      <c r="E11" s="196">
        <f>SUM(E12)</f>
        <v>172708.43964</v>
      </c>
      <c r="F11" s="184">
        <f aca="true" t="shared" si="0" ref="F11:F47">E11/D11*100</f>
        <v>95.52076070334954</v>
      </c>
    </row>
    <row r="12" spans="1:6" ht="15" customHeight="1">
      <c r="A12" s="176" t="s">
        <v>341</v>
      </c>
      <c r="B12" s="389" t="s">
        <v>215</v>
      </c>
      <c r="C12" s="393"/>
      <c r="D12" s="197">
        <v>180807.22805</v>
      </c>
      <c r="E12" s="198">
        <v>172708.43964</v>
      </c>
      <c r="F12" s="186">
        <f t="shared" si="0"/>
        <v>95.52076070334954</v>
      </c>
    </row>
    <row r="13" spans="1:7" ht="45" customHeight="1">
      <c r="A13" s="183" t="s">
        <v>385</v>
      </c>
      <c r="B13" s="389" t="s">
        <v>386</v>
      </c>
      <c r="C13" s="393"/>
      <c r="D13" s="199">
        <f>SUM(D14)</f>
        <v>13626</v>
      </c>
      <c r="E13" s="196">
        <f>SUM(E14)</f>
        <v>13376.692</v>
      </c>
      <c r="F13" s="184">
        <f t="shared" si="0"/>
        <v>98.17035079994129</v>
      </c>
      <c r="G13" s="185"/>
    </row>
    <row r="14" spans="1:6" ht="34.5" customHeight="1">
      <c r="A14" s="176" t="s">
        <v>383</v>
      </c>
      <c r="B14" s="389" t="s">
        <v>384</v>
      </c>
      <c r="C14" s="393"/>
      <c r="D14" s="200">
        <v>13626</v>
      </c>
      <c r="E14" s="198">
        <v>13376.692</v>
      </c>
      <c r="F14" s="186">
        <f t="shared" si="0"/>
        <v>98.17035079994129</v>
      </c>
    </row>
    <row r="15" spans="1:6" ht="15" customHeight="1">
      <c r="A15" s="183" t="s">
        <v>216</v>
      </c>
      <c r="B15" s="389" t="s">
        <v>218</v>
      </c>
      <c r="C15" s="393"/>
      <c r="D15" s="196">
        <f>SUM(D16:D18)</f>
        <v>11119</v>
      </c>
      <c r="E15" s="196">
        <f>SUM(E16:E18)</f>
        <v>11338.61663</v>
      </c>
      <c r="F15" s="184">
        <f t="shared" si="0"/>
        <v>101.97514731540606</v>
      </c>
    </row>
    <row r="16" spans="1:6" ht="30" customHeight="1">
      <c r="A16" s="176" t="s">
        <v>358</v>
      </c>
      <c r="B16" s="389" t="s">
        <v>219</v>
      </c>
      <c r="C16" s="393"/>
      <c r="D16" s="200">
        <v>9954</v>
      </c>
      <c r="E16" s="198">
        <v>10173.51519</v>
      </c>
      <c r="F16" s="186">
        <f t="shared" si="0"/>
        <v>102.20529626280891</v>
      </c>
    </row>
    <row r="17" spans="1:6" ht="15" customHeight="1">
      <c r="A17" s="176" t="s">
        <v>359</v>
      </c>
      <c r="B17" s="389" t="s">
        <v>220</v>
      </c>
      <c r="C17" s="393"/>
      <c r="D17" s="197">
        <v>1115</v>
      </c>
      <c r="E17" s="198">
        <v>1110.86866</v>
      </c>
      <c r="F17" s="186">
        <f t="shared" si="0"/>
        <v>99.62947623318387</v>
      </c>
    </row>
    <row r="18" spans="1:6" ht="49.5" customHeight="1">
      <c r="A18" s="176" t="s">
        <v>387</v>
      </c>
      <c r="B18" s="389" t="s">
        <v>388</v>
      </c>
      <c r="C18" s="393"/>
      <c r="D18" s="197">
        <v>50</v>
      </c>
      <c r="E18" s="198">
        <v>54.23278</v>
      </c>
      <c r="F18" s="186">
        <f t="shared" si="0"/>
        <v>108.46556000000001</v>
      </c>
    </row>
    <row r="19" spans="1:6" ht="15" customHeight="1">
      <c r="A19" s="183" t="s">
        <v>221</v>
      </c>
      <c r="B19" s="389" t="s">
        <v>222</v>
      </c>
      <c r="C19" s="393"/>
      <c r="D19" s="196">
        <f>SUM(D20:D20)</f>
        <v>2800</v>
      </c>
      <c r="E19" s="196">
        <f>SUM(E20:E20)</f>
        <v>2653.22422</v>
      </c>
      <c r="F19" s="184">
        <f t="shared" si="0"/>
        <v>94.75800785714286</v>
      </c>
    </row>
    <row r="20" spans="1:6" ht="52.5" customHeight="1">
      <c r="A20" s="58" t="s">
        <v>389</v>
      </c>
      <c r="B20" s="404" t="s">
        <v>6</v>
      </c>
      <c r="C20" s="405"/>
      <c r="D20" s="201">
        <v>2800</v>
      </c>
      <c r="E20" s="198">
        <v>2653.22422</v>
      </c>
      <c r="F20" s="186">
        <f t="shared" si="0"/>
        <v>94.75800785714286</v>
      </c>
    </row>
    <row r="21" spans="1:6" ht="52.5" customHeight="1">
      <c r="A21" s="183" t="s">
        <v>223</v>
      </c>
      <c r="B21" s="389" t="s">
        <v>360</v>
      </c>
      <c r="C21" s="393"/>
      <c r="D21" s="195">
        <f>D22+D26+D25+D27+D28+D29</f>
        <v>14443.9</v>
      </c>
      <c r="E21" s="196">
        <f>E22+E26+E25+E28+E29</f>
        <v>8055.570699999999</v>
      </c>
      <c r="F21" s="184">
        <f t="shared" si="0"/>
        <v>55.77143776957747</v>
      </c>
    </row>
    <row r="22" spans="1:9" ht="117" customHeight="1">
      <c r="A22" s="187" t="s">
        <v>4</v>
      </c>
      <c r="B22" s="385" t="s">
        <v>424</v>
      </c>
      <c r="C22" s="388"/>
      <c r="D22" s="199">
        <f>D23+D24</f>
        <v>11723.9</v>
      </c>
      <c r="E22" s="199">
        <f>E23+E24</f>
        <v>5460.64834</v>
      </c>
      <c r="F22" s="188">
        <f t="shared" si="0"/>
        <v>46.57706343452264</v>
      </c>
      <c r="I22" s="185"/>
    </row>
    <row r="23" spans="1:6" ht="100.5" customHeight="1">
      <c r="A23" s="187" t="s">
        <v>4</v>
      </c>
      <c r="B23" s="385" t="s">
        <v>527</v>
      </c>
      <c r="C23" s="388"/>
      <c r="D23" s="200">
        <v>4423.9</v>
      </c>
      <c r="E23" s="202">
        <v>647.55252</v>
      </c>
      <c r="F23" s="186">
        <f t="shared" si="0"/>
        <v>14.637593978164062</v>
      </c>
    </row>
    <row r="24" spans="1:6" ht="96" customHeight="1">
      <c r="A24" s="187" t="s">
        <v>182</v>
      </c>
      <c r="B24" s="385" t="s">
        <v>528</v>
      </c>
      <c r="C24" s="388"/>
      <c r="D24" s="200">
        <v>7300</v>
      </c>
      <c r="E24" s="116">
        <v>4813.09582</v>
      </c>
      <c r="F24" s="186">
        <f t="shared" si="0"/>
        <v>65.93281945205479</v>
      </c>
    </row>
    <row r="25" spans="1:6" ht="96" customHeight="1">
      <c r="A25" s="187" t="s">
        <v>267</v>
      </c>
      <c r="B25" s="385" t="s">
        <v>194</v>
      </c>
      <c r="C25" s="388"/>
      <c r="D25" s="200">
        <v>116</v>
      </c>
      <c r="E25" s="198">
        <v>104.56496</v>
      </c>
      <c r="F25" s="186">
        <f t="shared" si="0"/>
        <v>90.14220689655173</v>
      </c>
    </row>
    <row r="26" spans="1:6" ht="93.75" customHeight="1">
      <c r="A26" s="187" t="s">
        <v>137</v>
      </c>
      <c r="B26" s="385" t="s">
        <v>363</v>
      </c>
      <c r="C26" s="388"/>
      <c r="D26" s="197">
        <v>2604</v>
      </c>
      <c r="E26" s="116">
        <v>2490.3574</v>
      </c>
      <c r="F26" s="186">
        <f t="shared" si="0"/>
        <v>95.63584485407065</v>
      </c>
    </row>
    <row r="27" spans="1:6" ht="59.25" customHeight="1" hidden="1">
      <c r="A27" s="187" t="s">
        <v>268</v>
      </c>
      <c r="B27" s="385" t="s">
        <v>138</v>
      </c>
      <c r="C27" s="388"/>
      <c r="D27" s="203"/>
      <c r="E27" s="198"/>
      <c r="F27" s="186" t="e">
        <f t="shared" si="0"/>
        <v>#DIV/0!</v>
      </c>
    </row>
    <row r="28" spans="1:6" ht="99.75" customHeight="1" hidden="1">
      <c r="A28" s="187" t="s">
        <v>139</v>
      </c>
      <c r="B28" s="385" t="s">
        <v>365</v>
      </c>
      <c r="C28" s="388"/>
      <c r="D28" s="200"/>
      <c r="E28" s="203"/>
      <c r="F28" s="186" t="e">
        <f t="shared" si="0"/>
        <v>#DIV/0!</v>
      </c>
    </row>
    <row r="29" spans="1:6" ht="99.75" customHeight="1" hidden="1">
      <c r="A29" s="176" t="s">
        <v>511</v>
      </c>
      <c r="B29" s="389" t="s">
        <v>475</v>
      </c>
      <c r="C29" s="390"/>
      <c r="D29" s="197"/>
      <c r="E29" s="116"/>
      <c r="F29" s="186" t="e">
        <f t="shared" si="0"/>
        <v>#DIV/0!</v>
      </c>
    </row>
    <row r="30" spans="1:6" ht="31.5" customHeight="1">
      <c r="A30" s="189" t="s">
        <v>224</v>
      </c>
      <c r="B30" s="385" t="s">
        <v>225</v>
      </c>
      <c r="C30" s="388"/>
      <c r="D30" s="196">
        <f>SUM(D31)</f>
        <v>555</v>
      </c>
      <c r="E30" s="196">
        <f>SUM(E31)</f>
        <v>552.39609</v>
      </c>
      <c r="F30" s="184">
        <f t="shared" si="0"/>
        <v>99.53082702702703</v>
      </c>
    </row>
    <row r="31" spans="1:6" ht="41.25" customHeight="1">
      <c r="A31" s="187" t="s">
        <v>342</v>
      </c>
      <c r="B31" s="385" t="s">
        <v>226</v>
      </c>
      <c r="C31" s="388"/>
      <c r="D31" s="197">
        <v>555</v>
      </c>
      <c r="E31" s="202">
        <v>552.39609</v>
      </c>
      <c r="F31" s="186">
        <f t="shared" si="0"/>
        <v>99.53082702702703</v>
      </c>
    </row>
    <row r="32" spans="1:6" ht="40.5" customHeight="1">
      <c r="A32" s="189" t="s">
        <v>227</v>
      </c>
      <c r="B32" s="385" t="s">
        <v>228</v>
      </c>
      <c r="C32" s="388"/>
      <c r="D32" s="196">
        <f>SUM(D33:D34)</f>
        <v>1200</v>
      </c>
      <c r="E32" s="196">
        <f>SUM(E33:E34)</f>
        <v>1134.50916</v>
      </c>
      <c r="F32" s="184">
        <f t="shared" si="0"/>
        <v>94.54243000000001</v>
      </c>
    </row>
    <row r="33" spans="1:6" ht="50.25" customHeight="1">
      <c r="A33" s="187" t="s">
        <v>366</v>
      </c>
      <c r="B33" s="385" t="s">
        <v>367</v>
      </c>
      <c r="C33" s="388"/>
      <c r="D33" s="200">
        <v>312.8</v>
      </c>
      <c r="E33" s="198">
        <v>373.48492</v>
      </c>
      <c r="F33" s="186">
        <f t="shared" si="0"/>
        <v>119.40054987212277</v>
      </c>
    </row>
    <row r="34" spans="1:6" ht="67.5" customHeight="1">
      <c r="A34" s="187"/>
      <c r="B34" s="385" t="s">
        <v>552</v>
      </c>
      <c r="C34" s="388"/>
      <c r="D34" s="200">
        <v>887.2</v>
      </c>
      <c r="E34" s="198">
        <v>761.02424</v>
      </c>
      <c r="F34" s="186">
        <f t="shared" si="0"/>
        <v>85.77820559062216</v>
      </c>
    </row>
    <row r="35" spans="1:6" ht="34.5" customHeight="1">
      <c r="A35" s="189" t="s">
        <v>229</v>
      </c>
      <c r="B35" s="385" t="s">
        <v>230</v>
      </c>
      <c r="C35" s="388"/>
      <c r="D35" s="196">
        <f>SUM(D36:D39)</f>
        <v>11133.2</v>
      </c>
      <c r="E35" s="196">
        <f>SUM(E36:E39)</f>
        <v>9696.77232</v>
      </c>
      <c r="F35" s="184">
        <f t="shared" si="0"/>
        <v>87.09780045270003</v>
      </c>
    </row>
    <row r="36" spans="1:6" ht="120" customHeight="1">
      <c r="A36" s="187" t="s">
        <v>368</v>
      </c>
      <c r="B36" s="385" t="s">
        <v>380</v>
      </c>
      <c r="C36" s="388"/>
      <c r="D36" s="200">
        <v>6534.5</v>
      </c>
      <c r="E36" s="198">
        <v>5285.31289</v>
      </c>
      <c r="F36" s="186">
        <f t="shared" si="0"/>
        <v>80.88320284643049</v>
      </c>
    </row>
    <row r="37" spans="1:6" ht="76.5" customHeight="1">
      <c r="A37" s="190" t="s">
        <v>435</v>
      </c>
      <c r="B37" s="385" t="s">
        <v>436</v>
      </c>
      <c r="C37" s="388"/>
      <c r="D37" s="200">
        <v>1746</v>
      </c>
      <c r="E37" s="198">
        <v>1934.85193</v>
      </c>
      <c r="F37" s="186">
        <f t="shared" si="0"/>
        <v>110.81626174112256</v>
      </c>
    </row>
    <row r="38" spans="1:6" ht="67.5" customHeight="1">
      <c r="A38" s="190" t="s">
        <v>466</v>
      </c>
      <c r="B38" s="385" t="s">
        <v>195</v>
      </c>
      <c r="C38" s="388"/>
      <c r="D38" s="197">
        <v>2795</v>
      </c>
      <c r="E38" s="198">
        <v>2419</v>
      </c>
      <c r="F38" s="186">
        <f t="shared" si="0"/>
        <v>86.5474060822898</v>
      </c>
    </row>
    <row r="39" spans="1:6" ht="60" customHeight="1">
      <c r="A39" s="58" t="s">
        <v>271</v>
      </c>
      <c r="B39" s="389" t="s">
        <v>426</v>
      </c>
      <c r="C39" s="390"/>
      <c r="D39" s="197">
        <v>57.7</v>
      </c>
      <c r="E39" s="198">
        <v>57.6075</v>
      </c>
      <c r="F39" s="186">
        <f t="shared" si="0"/>
        <v>99.83968804159446</v>
      </c>
    </row>
    <row r="40" spans="1:6" ht="28.5" customHeight="1">
      <c r="A40" s="183" t="s">
        <v>231</v>
      </c>
      <c r="B40" s="389" t="s">
        <v>232</v>
      </c>
      <c r="C40" s="393"/>
      <c r="D40" s="195">
        <v>3000</v>
      </c>
      <c r="E40" s="204">
        <v>3028.92</v>
      </c>
      <c r="F40" s="184">
        <f t="shared" si="0"/>
        <v>100.96400000000001</v>
      </c>
    </row>
    <row r="41" spans="1:6" ht="30.75" customHeight="1">
      <c r="A41" s="183" t="s">
        <v>582</v>
      </c>
      <c r="B41" s="389" t="s">
        <v>583</v>
      </c>
      <c r="C41" s="393"/>
      <c r="D41" s="195">
        <v>0</v>
      </c>
      <c r="E41" s="204">
        <v>6.11</v>
      </c>
      <c r="F41" s="184" t="e">
        <f t="shared" si="0"/>
        <v>#DIV/0!</v>
      </c>
    </row>
    <row r="42" spans="1:6" ht="30.75" customHeight="1">
      <c r="A42" s="189" t="s">
        <v>269</v>
      </c>
      <c r="B42" s="385" t="s">
        <v>270</v>
      </c>
      <c r="C42" s="388"/>
      <c r="D42" s="196">
        <v>355</v>
      </c>
      <c r="E42" s="196">
        <v>354.94563</v>
      </c>
      <c r="F42" s="184">
        <f t="shared" si="0"/>
        <v>99.98468450704226</v>
      </c>
    </row>
    <row r="43" spans="1:6" ht="31.5" customHeight="1" hidden="1">
      <c r="A43" s="190" t="s">
        <v>272</v>
      </c>
      <c r="B43" s="385" t="s">
        <v>274</v>
      </c>
      <c r="C43" s="388"/>
      <c r="D43" s="201">
        <v>0</v>
      </c>
      <c r="E43" s="204">
        <f>E44</f>
        <v>477673.39900000003</v>
      </c>
      <c r="F43" s="184" t="e">
        <f t="shared" si="0"/>
        <v>#DIV/0!</v>
      </c>
    </row>
    <row r="44" spans="1:6" ht="29.25" customHeight="1">
      <c r="A44" s="189" t="s">
        <v>233</v>
      </c>
      <c r="B44" s="406" t="s">
        <v>234</v>
      </c>
      <c r="C44" s="407"/>
      <c r="D44" s="196">
        <f>D45</f>
        <v>488661.32500000007</v>
      </c>
      <c r="E44" s="196">
        <f>E45</f>
        <v>477673.39900000003</v>
      </c>
      <c r="F44" s="184">
        <f t="shared" si="0"/>
        <v>97.75142303312012</v>
      </c>
    </row>
    <row r="45" spans="1:6" ht="48.75" customHeight="1">
      <c r="A45" s="187" t="s">
        <v>235</v>
      </c>
      <c r="B45" s="385" t="s">
        <v>238</v>
      </c>
      <c r="C45" s="388"/>
      <c r="D45" s="199">
        <f>D46+D50+D61+D84</f>
        <v>488661.32500000007</v>
      </c>
      <c r="E45" s="199">
        <f>E46+E50+E61+E84</f>
        <v>477673.39900000003</v>
      </c>
      <c r="F45" s="184">
        <f t="shared" si="0"/>
        <v>97.75142303312012</v>
      </c>
    </row>
    <row r="46" spans="1:7" ht="30" customHeight="1">
      <c r="A46" s="189" t="s">
        <v>485</v>
      </c>
      <c r="B46" s="406" t="s">
        <v>239</v>
      </c>
      <c r="C46" s="407"/>
      <c r="D46" s="196">
        <f>D48+D49</f>
        <v>141883.77612</v>
      </c>
      <c r="E46" s="196">
        <f>E48+E49</f>
        <v>141883.78</v>
      </c>
      <c r="F46" s="188">
        <f t="shared" si="0"/>
        <v>100.0000027346326</v>
      </c>
      <c r="G46" s="208"/>
    </row>
    <row r="47" spans="1:6" ht="0.75" customHeight="1" hidden="1">
      <c r="A47" s="187" t="s">
        <v>392</v>
      </c>
      <c r="B47" s="385" t="s">
        <v>140</v>
      </c>
      <c r="C47" s="388"/>
      <c r="D47" s="200"/>
      <c r="E47" s="198">
        <v>52507</v>
      </c>
      <c r="F47" s="188" t="e">
        <f t="shared" si="0"/>
        <v>#DIV/0!</v>
      </c>
    </row>
    <row r="48" spans="1:6" ht="126" customHeight="1">
      <c r="A48" s="187" t="s">
        <v>554</v>
      </c>
      <c r="B48" s="385" t="s">
        <v>553</v>
      </c>
      <c r="C48" s="388"/>
      <c r="D48" s="200">
        <v>646</v>
      </c>
      <c r="E48" s="198">
        <v>646</v>
      </c>
      <c r="F48" s="186">
        <f aca="true" t="shared" si="1" ref="F48:F65">E48/D48*100</f>
        <v>100</v>
      </c>
    </row>
    <row r="49" spans="1:6" ht="43.5" customHeight="1">
      <c r="A49" s="187" t="s">
        <v>480</v>
      </c>
      <c r="B49" s="385" t="s">
        <v>281</v>
      </c>
      <c r="C49" s="388"/>
      <c r="D49" s="197">
        <v>141237.77612</v>
      </c>
      <c r="E49" s="200">
        <v>141237.78</v>
      </c>
      <c r="F49" s="186">
        <f t="shared" si="1"/>
        <v>100.0000027471404</v>
      </c>
    </row>
    <row r="50" spans="1:6" ht="37.5" customHeight="1">
      <c r="A50" s="177" t="s">
        <v>555</v>
      </c>
      <c r="B50" s="409" t="s">
        <v>217</v>
      </c>
      <c r="C50" s="409"/>
      <c r="D50" s="205">
        <f>D51</f>
        <v>50939.17799</v>
      </c>
      <c r="E50" s="205">
        <f>E51</f>
        <v>43742.69000000001</v>
      </c>
      <c r="F50" s="188">
        <f t="shared" si="1"/>
        <v>85.8723908120136</v>
      </c>
    </row>
    <row r="51" spans="1:6" ht="33" customHeight="1">
      <c r="A51" s="191" t="s">
        <v>476</v>
      </c>
      <c r="B51" s="397" t="s">
        <v>556</v>
      </c>
      <c r="C51" s="398"/>
      <c r="D51" s="206">
        <f>SUM(D52:D60)</f>
        <v>50939.17799</v>
      </c>
      <c r="E51" s="206">
        <f>SUM(E52:E60)</f>
        <v>43742.69000000001</v>
      </c>
      <c r="F51" s="192">
        <f t="shared" si="1"/>
        <v>85.8723908120136</v>
      </c>
    </row>
    <row r="52" spans="1:6" ht="87.75" customHeight="1">
      <c r="A52" s="190" t="s">
        <v>476</v>
      </c>
      <c r="B52" s="387" t="s">
        <v>557</v>
      </c>
      <c r="C52" s="387"/>
      <c r="D52" s="202">
        <f>597.5+44760.7+2978.433-11100-302.94078</f>
        <v>36933.69222</v>
      </c>
      <c r="E52" s="170">
        <v>36872.69</v>
      </c>
      <c r="F52" s="186">
        <f t="shared" si="1"/>
        <v>99.83483313924688</v>
      </c>
    </row>
    <row r="53" spans="1:6" ht="78" customHeight="1">
      <c r="A53" s="190" t="s">
        <v>476</v>
      </c>
      <c r="B53" s="391" t="s">
        <v>558</v>
      </c>
      <c r="C53" s="392"/>
      <c r="D53" s="202">
        <v>960</v>
      </c>
      <c r="E53" s="170">
        <v>823.76</v>
      </c>
      <c r="F53" s="186">
        <f t="shared" si="1"/>
        <v>85.80833333333334</v>
      </c>
    </row>
    <row r="54" spans="1:6" ht="63" customHeight="1">
      <c r="A54" s="190" t="s">
        <v>476</v>
      </c>
      <c r="B54" s="387" t="s">
        <v>559</v>
      </c>
      <c r="C54" s="387"/>
      <c r="D54" s="202">
        <v>825</v>
      </c>
      <c r="E54" s="170">
        <v>825</v>
      </c>
      <c r="F54" s="186">
        <f t="shared" si="1"/>
        <v>100</v>
      </c>
    </row>
    <row r="55" spans="1:6" ht="66.75" customHeight="1">
      <c r="A55" s="190" t="s">
        <v>476</v>
      </c>
      <c r="B55" s="385" t="s">
        <v>560</v>
      </c>
      <c r="C55" s="386"/>
      <c r="D55" s="202">
        <v>1182.227</v>
      </c>
      <c r="E55" s="170">
        <v>1113.55</v>
      </c>
      <c r="F55" s="186">
        <f t="shared" si="1"/>
        <v>94.19087873986975</v>
      </c>
    </row>
    <row r="56" spans="1:6" ht="74.25" customHeight="1">
      <c r="A56" s="190" t="s">
        <v>476</v>
      </c>
      <c r="B56" s="385" t="s">
        <v>561</v>
      </c>
      <c r="C56" s="386"/>
      <c r="D56" s="202">
        <v>6930</v>
      </c>
      <c r="E56" s="170">
        <v>0</v>
      </c>
      <c r="F56" s="186">
        <f t="shared" si="1"/>
        <v>0</v>
      </c>
    </row>
    <row r="57" spans="1:6" ht="65.25" customHeight="1">
      <c r="A57" s="190" t="s">
        <v>476</v>
      </c>
      <c r="B57" s="387" t="s">
        <v>562</v>
      </c>
      <c r="C57" s="387"/>
      <c r="D57" s="202">
        <v>149.24745</v>
      </c>
      <c r="E57" s="170">
        <v>149.25</v>
      </c>
      <c r="F57" s="186">
        <f t="shared" si="1"/>
        <v>100.00170857190527</v>
      </c>
    </row>
    <row r="58" spans="1:6" s="193" customFormat="1" ht="48" customHeight="1">
      <c r="A58" s="190" t="s">
        <v>476</v>
      </c>
      <c r="B58" s="385" t="s">
        <v>529</v>
      </c>
      <c r="C58" s="388"/>
      <c r="D58" s="202">
        <f>216.52843+742.48289</f>
        <v>959.01132</v>
      </c>
      <c r="E58" s="170">
        <v>958.44</v>
      </c>
      <c r="F58" s="186">
        <f t="shared" si="1"/>
        <v>99.94042614637752</v>
      </c>
    </row>
    <row r="59" spans="1:6" s="193" customFormat="1" ht="69.75" customHeight="1">
      <c r="A59" s="190" t="s">
        <v>476</v>
      </c>
      <c r="B59" s="385" t="s">
        <v>563</v>
      </c>
      <c r="C59" s="388"/>
      <c r="D59" s="202">
        <v>3000</v>
      </c>
      <c r="E59" s="170">
        <v>3000</v>
      </c>
      <c r="F59" s="186">
        <f t="shared" si="1"/>
        <v>100</v>
      </c>
    </row>
    <row r="60" spans="1:6" ht="51" customHeight="1" hidden="1">
      <c r="A60" s="190" t="s">
        <v>476</v>
      </c>
      <c r="B60" s="385" t="s">
        <v>564</v>
      </c>
      <c r="C60" s="388"/>
      <c r="D60" s="202">
        <f>156-156</f>
        <v>0</v>
      </c>
      <c r="E60" s="170">
        <v>0</v>
      </c>
      <c r="F60" s="186" t="e">
        <f t="shared" si="1"/>
        <v>#DIV/0!</v>
      </c>
    </row>
    <row r="61" spans="1:6" ht="30" customHeight="1">
      <c r="A61" s="189" t="s">
        <v>486</v>
      </c>
      <c r="B61" s="395" t="s">
        <v>337</v>
      </c>
      <c r="C61" s="395"/>
      <c r="D61" s="205">
        <f>D62+D63+D64+D65+D82+D83</f>
        <v>282068.44035000005</v>
      </c>
      <c r="E61" s="205">
        <f>E62+E63+E64+E65+E82+E83</f>
        <v>278623.97900000005</v>
      </c>
      <c r="F61" s="188">
        <f t="shared" si="1"/>
        <v>98.77885617202477</v>
      </c>
    </row>
    <row r="62" spans="1:6" ht="48" customHeight="1">
      <c r="A62" s="187" t="s">
        <v>477</v>
      </c>
      <c r="B62" s="387" t="s">
        <v>565</v>
      </c>
      <c r="C62" s="387"/>
      <c r="D62" s="202">
        <f>1798.09+187.287</f>
        <v>1985.377</v>
      </c>
      <c r="E62" s="170">
        <v>1985.38</v>
      </c>
      <c r="F62" s="186">
        <f t="shared" si="1"/>
        <v>100.00015110480278</v>
      </c>
    </row>
    <row r="63" spans="1:6" ht="96.75" customHeight="1">
      <c r="A63" s="187" t="s">
        <v>566</v>
      </c>
      <c r="B63" s="385" t="s">
        <v>567</v>
      </c>
      <c r="C63" s="386"/>
      <c r="D63" s="202">
        <v>500.835</v>
      </c>
      <c r="E63" s="170">
        <v>176.44</v>
      </c>
      <c r="F63" s="186">
        <f t="shared" si="1"/>
        <v>35.22916729062466</v>
      </c>
    </row>
    <row r="64" spans="1:6" ht="103.5" customHeight="1">
      <c r="A64" s="187" t="s">
        <v>478</v>
      </c>
      <c r="B64" s="387" t="s">
        <v>568</v>
      </c>
      <c r="C64" s="387"/>
      <c r="D64" s="202">
        <v>17.047</v>
      </c>
      <c r="E64" s="170">
        <v>17.047</v>
      </c>
      <c r="F64" s="186">
        <f t="shared" si="1"/>
        <v>100</v>
      </c>
    </row>
    <row r="65" spans="1:6" ht="56.25" customHeight="1">
      <c r="A65" s="191" t="s">
        <v>479</v>
      </c>
      <c r="B65" s="394" t="s">
        <v>200</v>
      </c>
      <c r="C65" s="394"/>
      <c r="D65" s="206">
        <f>D66+D67+D68+D69+D70+D71+D72+D73+D74+D75+D76+D77+D78+D79+D80+D81</f>
        <v>271957.03111000004</v>
      </c>
      <c r="E65" s="206">
        <f>E66+E67+E68+E69+E70+E71+E72+E73+E74+E75+E76+E77+E78+E79+E80+E81</f>
        <v>269771.50200000004</v>
      </c>
      <c r="F65" s="192">
        <f t="shared" si="1"/>
        <v>99.19636969815426</v>
      </c>
    </row>
    <row r="66" spans="1:6" ht="87.75" customHeight="1">
      <c r="A66" s="187" t="s">
        <v>479</v>
      </c>
      <c r="B66" s="387" t="s">
        <v>374</v>
      </c>
      <c r="C66" s="387"/>
      <c r="D66" s="202">
        <f>156357.937+526.423</f>
        <v>156884.36000000002</v>
      </c>
      <c r="E66" s="170">
        <v>156884.36</v>
      </c>
      <c r="F66" s="186">
        <f aca="true" t="shared" si="2" ref="F66:F76">E66/D66*100</f>
        <v>99.99999999999997</v>
      </c>
    </row>
    <row r="67" spans="1:6" ht="93" customHeight="1">
      <c r="A67" s="187" t="s">
        <v>479</v>
      </c>
      <c r="B67" s="387" t="s">
        <v>569</v>
      </c>
      <c r="C67" s="387"/>
      <c r="D67" s="202">
        <f>13848.602-3784.232</f>
        <v>10064.37</v>
      </c>
      <c r="E67" s="170">
        <v>9384.91</v>
      </c>
      <c r="F67" s="186">
        <f t="shared" si="2"/>
        <v>93.2488571068035</v>
      </c>
    </row>
    <row r="68" spans="1:6" ht="63" customHeight="1">
      <c r="A68" s="187" t="s">
        <v>479</v>
      </c>
      <c r="B68" s="387" t="s">
        <v>256</v>
      </c>
      <c r="C68" s="387"/>
      <c r="D68" s="202">
        <v>1167.127</v>
      </c>
      <c r="E68" s="170">
        <v>1167.13</v>
      </c>
      <c r="F68" s="186">
        <f t="shared" si="2"/>
        <v>100.00025704143596</v>
      </c>
    </row>
    <row r="69" spans="1:6" ht="103.5" customHeight="1">
      <c r="A69" s="187" t="s">
        <v>479</v>
      </c>
      <c r="B69" s="387" t="s">
        <v>375</v>
      </c>
      <c r="C69" s="387"/>
      <c r="D69" s="202">
        <v>48045.528</v>
      </c>
      <c r="E69" s="170">
        <v>48045.528</v>
      </c>
      <c r="F69" s="186">
        <f t="shared" si="2"/>
        <v>100</v>
      </c>
    </row>
    <row r="70" spans="1:6" ht="90" customHeight="1">
      <c r="A70" s="187" t="s">
        <v>479</v>
      </c>
      <c r="B70" s="387" t="s">
        <v>570</v>
      </c>
      <c r="C70" s="387"/>
      <c r="D70" s="202">
        <f>3064.058-642.381-674.57281</f>
        <v>1747.10419</v>
      </c>
      <c r="E70" s="170">
        <v>1637.96</v>
      </c>
      <c r="F70" s="186">
        <f t="shared" si="2"/>
        <v>93.75285168310425</v>
      </c>
    </row>
    <row r="71" spans="1:6" ht="69.75" customHeight="1">
      <c r="A71" s="187" t="s">
        <v>479</v>
      </c>
      <c r="B71" s="387" t="s">
        <v>378</v>
      </c>
      <c r="C71" s="387"/>
      <c r="D71" s="202">
        <v>774.981</v>
      </c>
      <c r="E71" s="170">
        <v>774.981</v>
      </c>
      <c r="F71" s="186">
        <f t="shared" si="2"/>
        <v>100</v>
      </c>
    </row>
    <row r="72" spans="1:6" ht="70.5" customHeight="1">
      <c r="A72" s="187" t="s">
        <v>479</v>
      </c>
      <c r="B72" s="387" t="s">
        <v>379</v>
      </c>
      <c r="C72" s="387"/>
      <c r="D72" s="202">
        <v>746.896</v>
      </c>
      <c r="E72" s="170">
        <v>746.896</v>
      </c>
      <c r="F72" s="186">
        <f t="shared" si="2"/>
        <v>100</v>
      </c>
    </row>
    <row r="73" spans="1:6" ht="94.5" customHeight="1">
      <c r="A73" s="187" t="s">
        <v>479</v>
      </c>
      <c r="B73" s="387" t="s">
        <v>257</v>
      </c>
      <c r="C73" s="387"/>
      <c r="D73" s="202">
        <v>11501.934</v>
      </c>
      <c r="E73" s="170">
        <v>11501.934</v>
      </c>
      <c r="F73" s="186">
        <f t="shared" si="2"/>
        <v>100</v>
      </c>
    </row>
    <row r="74" spans="1:6" ht="108.75" customHeight="1">
      <c r="A74" s="187" t="s">
        <v>479</v>
      </c>
      <c r="B74" s="387" t="s">
        <v>571</v>
      </c>
      <c r="C74" s="387"/>
      <c r="D74" s="202">
        <v>1.69524</v>
      </c>
      <c r="E74" s="170">
        <v>1.695</v>
      </c>
      <c r="F74" s="186">
        <f t="shared" si="2"/>
        <v>99.98584271253628</v>
      </c>
    </row>
    <row r="75" spans="1:6" ht="75" customHeight="1">
      <c r="A75" s="187" t="s">
        <v>479</v>
      </c>
      <c r="B75" s="387" t="s">
        <v>572</v>
      </c>
      <c r="C75" s="387"/>
      <c r="D75" s="202">
        <v>273.188</v>
      </c>
      <c r="E75" s="170">
        <v>0</v>
      </c>
      <c r="F75" s="186">
        <f t="shared" si="2"/>
        <v>0</v>
      </c>
    </row>
    <row r="76" spans="1:6" ht="60.75" customHeight="1">
      <c r="A76" s="187" t="s">
        <v>483</v>
      </c>
      <c r="B76" s="387" t="s">
        <v>573</v>
      </c>
      <c r="C76" s="387"/>
      <c r="D76" s="202">
        <v>1819.318</v>
      </c>
      <c r="E76" s="170">
        <v>1819.318</v>
      </c>
      <c r="F76" s="186">
        <f t="shared" si="2"/>
        <v>100</v>
      </c>
    </row>
    <row r="77" spans="1:6" ht="99" customHeight="1">
      <c r="A77" s="187" t="s">
        <v>483</v>
      </c>
      <c r="B77" s="385" t="s">
        <v>574</v>
      </c>
      <c r="C77" s="386"/>
      <c r="D77" s="202">
        <f>18092.018-2216.317</f>
        <v>15875.701000000001</v>
      </c>
      <c r="E77" s="170">
        <v>14887.7</v>
      </c>
      <c r="F77" s="186">
        <f>E77/D77*100</f>
        <v>93.77664646115468</v>
      </c>
    </row>
    <row r="78" spans="1:6" ht="60.75" customHeight="1" hidden="1">
      <c r="A78" s="187" t="s">
        <v>566</v>
      </c>
      <c r="B78" s="385" t="s">
        <v>567</v>
      </c>
      <c r="C78" s="386"/>
      <c r="D78" s="202">
        <v>0</v>
      </c>
      <c r="E78" s="170"/>
      <c r="F78" s="186">
        <f>E77/D77*100</f>
        <v>93.77664646115468</v>
      </c>
    </row>
    <row r="79" spans="1:6" ht="60.75" customHeight="1">
      <c r="A79" s="187" t="s">
        <v>483</v>
      </c>
      <c r="B79" s="387" t="s">
        <v>484</v>
      </c>
      <c r="C79" s="387"/>
      <c r="D79" s="202">
        <f>2375-1795</f>
        <v>580</v>
      </c>
      <c r="E79" s="170">
        <v>555</v>
      </c>
      <c r="F79" s="186">
        <f aca="true" t="shared" si="3" ref="F79:F87">E79/D79*100</f>
        <v>95.6896551724138</v>
      </c>
    </row>
    <row r="80" spans="1:6" ht="60.75" customHeight="1">
      <c r="A80" s="187" t="s">
        <v>479</v>
      </c>
      <c r="B80" s="387" t="s">
        <v>500</v>
      </c>
      <c r="C80" s="387"/>
      <c r="D80" s="202">
        <f>22243.702+365.45389-137.55021</f>
        <v>22471.60568</v>
      </c>
      <c r="E80" s="170">
        <v>22364.09</v>
      </c>
      <c r="F80" s="186">
        <f t="shared" si="3"/>
        <v>99.52154874230598</v>
      </c>
    </row>
    <row r="81" spans="1:6" ht="126" customHeight="1">
      <c r="A81" s="187" t="s">
        <v>479</v>
      </c>
      <c r="B81" s="387" t="s">
        <v>482</v>
      </c>
      <c r="C81" s="387"/>
      <c r="D81" s="202">
        <v>3.223</v>
      </c>
      <c r="E81" s="170">
        <v>0</v>
      </c>
      <c r="F81" s="186">
        <f t="shared" si="3"/>
        <v>0</v>
      </c>
    </row>
    <row r="82" spans="1:6" ht="102" customHeight="1">
      <c r="A82" s="187" t="s">
        <v>481</v>
      </c>
      <c r="B82" s="387" t="s">
        <v>266</v>
      </c>
      <c r="C82" s="387"/>
      <c r="D82" s="202">
        <f>4647.323-2191.17276</f>
        <v>2456.1502400000004</v>
      </c>
      <c r="E82" s="170">
        <v>2164.62</v>
      </c>
      <c r="F82" s="186">
        <f t="shared" si="3"/>
        <v>88.13060230387208</v>
      </c>
    </row>
    <row r="83" spans="1:6" ht="91.5" customHeight="1">
      <c r="A83" s="187" t="s">
        <v>575</v>
      </c>
      <c r="B83" s="385" t="s">
        <v>576</v>
      </c>
      <c r="C83" s="386"/>
      <c r="D83" s="202">
        <v>5152</v>
      </c>
      <c r="E83" s="170">
        <v>4508.99</v>
      </c>
      <c r="F83" s="186">
        <f t="shared" si="3"/>
        <v>87.51921583850931</v>
      </c>
    </row>
    <row r="84" spans="1:6" ht="13.5" customHeight="1">
      <c r="A84" s="189" t="s">
        <v>487</v>
      </c>
      <c r="B84" s="406" t="s">
        <v>577</v>
      </c>
      <c r="C84" s="407"/>
      <c r="D84" s="205">
        <f>D85+D86+D87</f>
        <v>13769.930540000001</v>
      </c>
      <c r="E84" s="205">
        <f>E85+E86+E87+E91</f>
        <v>13422.95</v>
      </c>
      <c r="F84" s="188">
        <f t="shared" si="3"/>
        <v>97.48015765953167</v>
      </c>
    </row>
    <row r="85" spans="1:6" ht="99.75" customHeight="1">
      <c r="A85" s="190" t="s">
        <v>578</v>
      </c>
      <c r="B85" s="385" t="s">
        <v>579</v>
      </c>
      <c r="C85" s="386"/>
      <c r="D85" s="202">
        <v>3106.391</v>
      </c>
      <c r="E85" s="170">
        <v>3106.39</v>
      </c>
      <c r="F85" s="186">
        <f t="shared" si="3"/>
        <v>99.99996780830229</v>
      </c>
    </row>
    <row r="86" spans="1:6" ht="86.25" customHeight="1">
      <c r="A86" s="190" t="s">
        <v>580</v>
      </c>
      <c r="B86" s="385" t="s">
        <v>581</v>
      </c>
      <c r="C86" s="386"/>
      <c r="D86" s="202">
        <v>6366.78</v>
      </c>
      <c r="E86" s="170">
        <v>5894.81</v>
      </c>
      <c r="F86" s="186">
        <f t="shared" si="3"/>
        <v>92.58699059807314</v>
      </c>
    </row>
    <row r="87" spans="1:6" ht="87.75" customHeight="1">
      <c r="A87" s="190" t="s">
        <v>488</v>
      </c>
      <c r="B87" s="410" t="s">
        <v>418</v>
      </c>
      <c r="C87" s="410"/>
      <c r="D87" s="202">
        <f>1820+2476.1-75.74046+76.4</f>
        <v>4296.75954</v>
      </c>
      <c r="E87" s="170">
        <v>4296.76</v>
      </c>
      <c r="F87" s="186">
        <f t="shared" si="3"/>
        <v>100.00001070574223</v>
      </c>
    </row>
    <row r="88" spans="1:6" ht="15.75" hidden="1">
      <c r="A88" s="190" t="s">
        <v>399</v>
      </c>
      <c r="B88" s="410" t="s">
        <v>280</v>
      </c>
      <c r="C88" s="410"/>
      <c r="D88" s="207"/>
      <c r="E88" s="170"/>
      <c r="F88" s="186">
        <f>E87/D87*100</f>
        <v>100.00001070574223</v>
      </c>
    </row>
    <row r="89" spans="1:6" ht="15.75" hidden="1">
      <c r="A89" s="190" t="s">
        <v>400</v>
      </c>
      <c r="B89" s="387" t="s">
        <v>307</v>
      </c>
      <c r="C89" s="387"/>
      <c r="D89" s="207"/>
      <c r="E89" s="170"/>
      <c r="F89" s="186" t="e">
        <f>E88/D88*100</f>
        <v>#DIV/0!</v>
      </c>
    </row>
    <row r="90" spans="1:6" ht="15.75" hidden="1">
      <c r="A90" s="190" t="s">
        <v>401</v>
      </c>
      <c r="B90" s="387" t="s">
        <v>265</v>
      </c>
      <c r="C90" s="387"/>
      <c r="D90" s="207"/>
      <c r="E90" s="170"/>
      <c r="F90" s="186" t="e">
        <f>E89/D89*100</f>
        <v>#DIV/0!</v>
      </c>
    </row>
    <row r="91" spans="1:6" ht="70.5" customHeight="1">
      <c r="A91" s="190" t="s">
        <v>584</v>
      </c>
      <c r="B91" s="385" t="s">
        <v>585</v>
      </c>
      <c r="C91" s="388"/>
      <c r="D91" s="207">
        <v>0</v>
      </c>
      <c r="E91" s="170">
        <v>124.99</v>
      </c>
      <c r="F91" s="186">
        <v>0</v>
      </c>
    </row>
    <row r="92" spans="1:6" ht="15.75">
      <c r="A92" s="187"/>
      <c r="B92" s="408" t="s">
        <v>246</v>
      </c>
      <c r="C92" s="408"/>
      <c r="D92" s="205">
        <f>D10+D44</f>
        <v>727700.6530500001</v>
      </c>
      <c r="E92" s="205">
        <f>E10+E44</f>
        <v>700579.59539</v>
      </c>
      <c r="F92" s="188">
        <f>E92/D92*100</f>
        <v>96.27304750293571</v>
      </c>
    </row>
  </sheetData>
  <sheetProtection/>
  <mergeCells count="92">
    <mergeCell ref="B31:C31"/>
    <mergeCell ref="B42:C42"/>
    <mergeCell ref="B86:C86"/>
    <mergeCell ref="B87:C87"/>
    <mergeCell ref="B88:C88"/>
    <mergeCell ref="B89:C89"/>
    <mergeCell ref="B90:C90"/>
    <mergeCell ref="B57:C57"/>
    <mergeCell ref="B79:C79"/>
    <mergeCell ref="B92:C92"/>
    <mergeCell ref="B91:C91"/>
    <mergeCell ref="B50:C50"/>
    <mergeCell ref="B81:C81"/>
    <mergeCell ref="B82:C82"/>
    <mergeCell ref="B83:C83"/>
    <mergeCell ref="B84:C84"/>
    <mergeCell ref="B85:C85"/>
    <mergeCell ref="B80:C80"/>
    <mergeCell ref="B60:C60"/>
    <mergeCell ref="B46:C46"/>
    <mergeCell ref="B30:C30"/>
    <mergeCell ref="B32:C32"/>
    <mergeCell ref="B27:C27"/>
    <mergeCell ref="B33:C33"/>
    <mergeCell ref="B44:C44"/>
    <mergeCell ref="B41:C41"/>
    <mergeCell ref="B38:C38"/>
    <mergeCell ref="B35:C35"/>
    <mergeCell ref="B39:C39"/>
    <mergeCell ref="B17:C17"/>
    <mergeCell ref="B19:C19"/>
    <mergeCell ref="B28:C28"/>
    <mergeCell ref="B20:C20"/>
    <mergeCell ref="B18:C18"/>
    <mergeCell ref="B21:C21"/>
    <mergeCell ref="B23:C23"/>
    <mergeCell ref="B22:C22"/>
    <mergeCell ref="B24:C24"/>
    <mergeCell ref="E2:F2"/>
    <mergeCell ref="A8:A9"/>
    <mergeCell ref="B8:C9"/>
    <mergeCell ref="D8:D9"/>
    <mergeCell ref="B7:C7"/>
    <mergeCell ref="A6:F6"/>
    <mergeCell ref="E8:E9"/>
    <mergeCell ref="D4:F4"/>
    <mergeCell ref="B16:C16"/>
    <mergeCell ref="F8:F9"/>
    <mergeCell ref="B55:C55"/>
    <mergeCell ref="B58:C58"/>
    <mergeCell ref="B45:C45"/>
    <mergeCell ref="B51:C51"/>
    <mergeCell ref="B10:C10"/>
    <mergeCell ref="B11:C11"/>
    <mergeCell ref="B12:C12"/>
    <mergeCell ref="B15:C15"/>
    <mergeCell ref="B14:C14"/>
    <mergeCell ref="B13:C13"/>
    <mergeCell ref="B70:C70"/>
    <mergeCell ref="B65:C65"/>
    <mergeCell ref="B40:C40"/>
    <mergeCell ref="B49:C49"/>
    <mergeCell ref="B61:C61"/>
    <mergeCell ref="B47:C47"/>
    <mergeCell ref="B43:C43"/>
    <mergeCell ref="B67:C67"/>
    <mergeCell ref="B69:C69"/>
    <mergeCell ref="B71:C71"/>
    <mergeCell ref="B74:C74"/>
    <mergeCell ref="B75:C75"/>
    <mergeCell ref="B72:C72"/>
    <mergeCell ref="B73:C73"/>
    <mergeCell ref="B78:C78"/>
    <mergeCell ref="B77:C77"/>
    <mergeCell ref="B76:C76"/>
    <mergeCell ref="B59:C59"/>
    <mergeCell ref="B52:C52"/>
    <mergeCell ref="B68:C68"/>
    <mergeCell ref="B54:C54"/>
    <mergeCell ref="B56:C56"/>
    <mergeCell ref="B53:C53"/>
    <mergeCell ref="B62:C62"/>
    <mergeCell ref="B63:C63"/>
    <mergeCell ref="B64:C64"/>
    <mergeCell ref="B66:C66"/>
    <mergeCell ref="B34:C34"/>
    <mergeCell ref="B48:C48"/>
    <mergeCell ref="B25:C25"/>
    <mergeCell ref="B26:C26"/>
    <mergeCell ref="B36:C36"/>
    <mergeCell ref="B29:C29"/>
    <mergeCell ref="B37:C37"/>
  </mergeCells>
  <printOptions/>
  <pageMargins left="0.7" right="0.7" top="0.75" bottom="0.75" header="0.3" footer="0.3"/>
  <pageSetup fitToHeight="0" fitToWidth="1" horizontalDpi="600" verticalDpi="600" orientation="portrait" paperSize="9" scale="68" r:id="rId1"/>
  <rowBreaks count="3" manualBreakCount="3">
    <brk id="29" max="5" man="1"/>
    <brk id="49" max="5" man="1"/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97"/>
  <sheetViews>
    <sheetView view="pageBreakPreview" zoomScale="73" zoomScaleSheetLayoutView="73" zoomScalePageLayoutView="0" workbookViewId="0" topLeftCell="A1">
      <selection activeCell="M3" sqref="M3"/>
    </sheetView>
  </sheetViews>
  <sheetFormatPr defaultColWidth="9.00390625" defaultRowHeight="12.75"/>
  <cols>
    <col min="1" max="1" width="56.00390625" style="28" customWidth="1"/>
    <col min="2" max="2" width="4.75390625" style="23" customWidth="1"/>
    <col min="3" max="3" width="5.375" style="23" customWidth="1"/>
    <col min="4" max="4" width="15.375" style="296" customWidth="1"/>
    <col min="5" max="5" width="4.875" style="23" customWidth="1"/>
    <col min="6" max="6" width="18.00390625" style="57" customWidth="1"/>
    <col min="7" max="7" width="18.75390625" style="57" hidden="1" customWidth="1"/>
    <col min="8" max="8" width="14.875" style="57" hidden="1" customWidth="1"/>
    <col min="9" max="9" width="16.25390625" style="73" customWidth="1"/>
    <col min="10" max="10" width="12.00390625" style="0" hidden="1" customWidth="1"/>
    <col min="11" max="11" width="13.75390625" style="0" hidden="1" customWidth="1"/>
    <col min="12" max="12" width="12.875" style="46" customWidth="1"/>
    <col min="13" max="13" width="17.125" style="0" customWidth="1"/>
    <col min="14" max="14" width="11.75390625" style="0" bestFit="1" customWidth="1"/>
  </cols>
  <sheetData>
    <row r="1" spans="1:12" ht="15.75">
      <c r="A1" s="22"/>
      <c r="B1" s="22"/>
      <c r="C1" s="22"/>
      <c r="D1" s="295"/>
      <c r="F1" s="415"/>
      <c r="G1" s="415"/>
      <c r="H1" s="415"/>
      <c r="I1" s="413" t="s">
        <v>445</v>
      </c>
      <c r="J1" s="413"/>
      <c r="K1" s="413"/>
      <c r="L1" s="413"/>
    </row>
    <row r="2" spans="6:12" ht="15.75">
      <c r="F2" s="413" t="s">
        <v>343</v>
      </c>
      <c r="G2" s="413"/>
      <c r="H2" s="413"/>
      <c r="I2" s="413"/>
      <c r="J2" s="413"/>
      <c r="K2" s="413"/>
      <c r="L2" s="413"/>
    </row>
    <row r="3" spans="6:12" ht="15.75">
      <c r="F3" s="415"/>
      <c r="G3" s="415"/>
      <c r="H3" s="415"/>
      <c r="I3" s="413" t="s">
        <v>344</v>
      </c>
      <c r="J3" s="413"/>
      <c r="K3" s="413"/>
      <c r="L3" s="413"/>
    </row>
    <row r="4" spans="6:12" ht="15.75" customHeight="1">
      <c r="F4" s="416"/>
      <c r="G4" s="415"/>
      <c r="H4" s="415"/>
      <c r="I4" s="413" t="s">
        <v>687</v>
      </c>
      <c r="J4" s="413"/>
      <c r="K4" s="413"/>
      <c r="L4" s="413"/>
    </row>
    <row r="5" ht="4.5" customHeight="1"/>
    <row r="6" spans="1:12" ht="15.75">
      <c r="A6" s="414" t="s">
        <v>345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 ht="16.5" customHeight="1">
      <c r="A7" s="414" t="s">
        <v>589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spans="1:12" ht="15.75" customHeight="1">
      <c r="A8" s="414" t="s">
        <v>101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</row>
    <row r="9" spans="1:8" ht="15.75" customHeight="1">
      <c r="A9" s="21"/>
      <c r="B9" s="21"/>
      <c r="C9" s="7"/>
      <c r="D9" s="297"/>
      <c r="E9" s="7"/>
      <c r="F9" s="173"/>
      <c r="G9" s="173"/>
      <c r="H9" s="174" t="s">
        <v>308</v>
      </c>
    </row>
    <row r="10" spans="1:12" ht="12" customHeight="1">
      <c r="A10" s="422"/>
      <c r="B10" s="424" t="s">
        <v>108</v>
      </c>
      <c r="C10" s="424" t="s">
        <v>109</v>
      </c>
      <c r="D10" s="426" t="s">
        <v>287</v>
      </c>
      <c r="E10" s="424" t="s">
        <v>110</v>
      </c>
      <c r="F10" s="411" t="s">
        <v>680</v>
      </c>
      <c r="G10" s="417" t="s">
        <v>289</v>
      </c>
      <c r="H10" s="418"/>
      <c r="I10" s="419" t="s">
        <v>681</v>
      </c>
      <c r="J10" s="420" t="s">
        <v>289</v>
      </c>
      <c r="K10" s="420"/>
      <c r="L10" s="421" t="s">
        <v>548</v>
      </c>
    </row>
    <row r="11" spans="1:12" ht="52.5" customHeight="1">
      <c r="A11" s="423"/>
      <c r="B11" s="425"/>
      <c r="C11" s="425"/>
      <c r="D11" s="427"/>
      <c r="E11" s="425"/>
      <c r="F11" s="412"/>
      <c r="G11" s="175" t="s">
        <v>100</v>
      </c>
      <c r="H11" s="175" t="s">
        <v>197</v>
      </c>
      <c r="I11" s="419"/>
      <c r="J11" s="8" t="s">
        <v>100</v>
      </c>
      <c r="K11" s="8" t="s">
        <v>197</v>
      </c>
      <c r="L11" s="421"/>
    </row>
    <row r="12" spans="1:12" s="26" customFormat="1" ht="11.25" customHeight="1">
      <c r="A12" s="25">
        <v>1</v>
      </c>
      <c r="B12" s="25">
        <v>2</v>
      </c>
      <c r="C12" s="25">
        <v>3</v>
      </c>
      <c r="D12" s="298">
        <v>4</v>
      </c>
      <c r="E12" s="25">
        <v>5</v>
      </c>
      <c r="F12" s="261">
        <v>6</v>
      </c>
      <c r="G12" s="262">
        <v>7</v>
      </c>
      <c r="H12" s="263">
        <v>8</v>
      </c>
      <c r="I12" s="262">
        <v>7</v>
      </c>
      <c r="J12" s="262">
        <v>7</v>
      </c>
      <c r="K12" s="263">
        <v>8</v>
      </c>
      <c r="L12" s="262">
        <v>8</v>
      </c>
    </row>
    <row r="13" spans="1:14" s="35" customFormat="1" ht="18.75" customHeight="1">
      <c r="A13" s="100" t="s">
        <v>111</v>
      </c>
      <c r="B13" s="31" t="s">
        <v>112</v>
      </c>
      <c r="C13" s="31" t="s">
        <v>113</v>
      </c>
      <c r="D13" s="92" t="s">
        <v>262</v>
      </c>
      <c r="E13" s="31" t="s">
        <v>347</v>
      </c>
      <c r="F13" s="214">
        <f>F14+F20+F33+F43+F46+F68+F74+F80</f>
        <v>57122.723999999995</v>
      </c>
      <c r="G13" s="214">
        <f>G14+G20+G33+G43+G46+G68+G74+G80</f>
        <v>40724.83717</v>
      </c>
      <c r="H13" s="214">
        <f>H14+H20+H33+H43+H46+H68+H74+H80</f>
        <v>16272.89483</v>
      </c>
      <c r="I13" s="214">
        <f>I14+I20+I33+I43+I46+I68+I74+I80</f>
        <v>46424.502519999995</v>
      </c>
      <c r="J13" s="150">
        <f aca="true" t="shared" si="0" ref="J13:J76">I13/F13*100</f>
        <v>81.27151380245802</v>
      </c>
      <c r="K13" s="162">
        <f>K14+K20+K33+K46+K64+K74+K43</f>
        <v>7469.909000000001</v>
      </c>
      <c r="L13" s="119">
        <f>I13/F13*100</f>
        <v>81.27151380245802</v>
      </c>
      <c r="M13" s="164"/>
      <c r="N13" s="164"/>
    </row>
    <row r="14" spans="1:12" s="15" customFormat="1" ht="47.25" customHeight="1">
      <c r="A14" s="264" t="s">
        <v>292</v>
      </c>
      <c r="B14" s="265" t="s">
        <v>112</v>
      </c>
      <c r="C14" s="265" t="s">
        <v>114</v>
      </c>
      <c r="D14" s="299" t="s">
        <v>262</v>
      </c>
      <c r="E14" s="265" t="s">
        <v>347</v>
      </c>
      <c r="F14" s="266">
        <f>G14+H14</f>
        <v>1822.88</v>
      </c>
      <c r="G14" s="267">
        <f aca="true" t="shared" si="1" ref="G14:H17">G15</f>
        <v>1822.88</v>
      </c>
      <c r="H14" s="267">
        <f t="shared" si="1"/>
        <v>0</v>
      </c>
      <c r="I14" s="267">
        <f>I15</f>
        <v>1710.8373</v>
      </c>
      <c r="J14" s="268">
        <f t="shared" si="0"/>
        <v>93.85353396822609</v>
      </c>
      <c r="K14" s="141">
        <f>K15</f>
        <v>0</v>
      </c>
      <c r="L14" s="275">
        <f>I14/F14*100</f>
        <v>93.85353396822609</v>
      </c>
    </row>
    <row r="15" spans="1:12" s="48" customFormat="1" ht="33" customHeight="1">
      <c r="A15" s="44" t="s">
        <v>115</v>
      </c>
      <c r="B15" s="24" t="s">
        <v>112</v>
      </c>
      <c r="C15" s="24" t="s">
        <v>114</v>
      </c>
      <c r="D15" s="54" t="s">
        <v>7</v>
      </c>
      <c r="E15" s="24" t="s">
        <v>347</v>
      </c>
      <c r="F15" s="216">
        <f aca="true" t="shared" si="2" ref="F15:F34">G15+H15</f>
        <v>1822.88</v>
      </c>
      <c r="G15" s="209">
        <f t="shared" si="1"/>
        <v>1822.88</v>
      </c>
      <c r="H15" s="209">
        <f t="shared" si="1"/>
        <v>0</v>
      </c>
      <c r="I15" s="217">
        <f>I16</f>
        <v>1710.8373</v>
      </c>
      <c r="J15" s="148">
        <f t="shared" si="0"/>
        <v>93.85353396822609</v>
      </c>
      <c r="K15" s="118">
        <f>K16</f>
        <v>0</v>
      </c>
      <c r="L15" s="119">
        <f aca="true" t="shared" si="3" ref="L15:L78">I15/F15*100</f>
        <v>93.85353396822609</v>
      </c>
    </row>
    <row r="16" spans="1:12" s="4" customFormat="1" ht="48" customHeight="1">
      <c r="A16" s="44" t="s">
        <v>116</v>
      </c>
      <c r="B16" s="24" t="s">
        <v>112</v>
      </c>
      <c r="C16" s="24" t="s">
        <v>114</v>
      </c>
      <c r="D16" s="54" t="s">
        <v>8</v>
      </c>
      <c r="E16" s="24" t="s">
        <v>347</v>
      </c>
      <c r="F16" s="216">
        <f t="shared" si="2"/>
        <v>1822.88</v>
      </c>
      <c r="G16" s="209">
        <f t="shared" si="1"/>
        <v>1822.88</v>
      </c>
      <c r="H16" s="209">
        <f t="shared" si="1"/>
        <v>0</v>
      </c>
      <c r="I16" s="217">
        <f>I17</f>
        <v>1710.8373</v>
      </c>
      <c r="J16" s="148">
        <f t="shared" si="0"/>
        <v>93.85353396822609</v>
      </c>
      <c r="K16" s="118">
        <f>K17</f>
        <v>0</v>
      </c>
      <c r="L16" s="119">
        <f t="shared" si="3"/>
        <v>93.85353396822609</v>
      </c>
    </row>
    <row r="17" spans="1:12" s="43" customFormat="1" ht="16.5" customHeight="1">
      <c r="A17" s="51" t="s">
        <v>352</v>
      </c>
      <c r="B17" s="45" t="s">
        <v>112</v>
      </c>
      <c r="C17" s="45" t="s">
        <v>114</v>
      </c>
      <c r="D17" s="80" t="s">
        <v>9</v>
      </c>
      <c r="E17" s="45" t="s">
        <v>347</v>
      </c>
      <c r="F17" s="218">
        <f t="shared" si="2"/>
        <v>1822.88</v>
      </c>
      <c r="G17" s="219">
        <f>G18</f>
        <v>1822.88</v>
      </c>
      <c r="H17" s="219">
        <f t="shared" si="1"/>
        <v>0</v>
      </c>
      <c r="I17" s="220">
        <f>I18</f>
        <v>1710.8373</v>
      </c>
      <c r="J17" s="149">
        <f t="shared" si="0"/>
        <v>93.85353396822609</v>
      </c>
      <c r="K17" s="120">
        <f>K18</f>
        <v>0</v>
      </c>
      <c r="L17" s="121">
        <f t="shared" si="3"/>
        <v>93.85353396822609</v>
      </c>
    </row>
    <row r="18" spans="1:12" s="4" customFormat="1" ht="95.25" customHeight="1">
      <c r="A18" s="44" t="s">
        <v>148</v>
      </c>
      <c r="B18" s="24" t="s">
        <v>112</v>
      </c>
      <c r="C18" s="24" t="s">
        <v>114</v>
      </c>
      <c r="D18" s="54" t="s">
        <v>9</v>
      </c>
      <c r="E18" s="24" t="s">
        <v>117</v>
      </c>
      <c r="F18" s="216">
        <f t="shared" si="2"/>
        <v>1822.88</v>
      </c>
      <c r="G18" s="209">
        <f>G19</f>
        <v>1822.88</v>
      </c>
      <c r="H18" s="209"/>
      <c r="I18" s="217">
        <v>1710.8373</v>
      </c>
      <c r="J18" s="148">
        <f t="shared" si="0"/>
        <v>93.85353396822609</v>
      </c>
      <c r="K18" s="60"/>
      <c r="L18" s="160">
        <f t="shared" si="3"/>
        <v>93.85353396822609</v>
      </c>
    </row>
    <row r="19" spans="1:12" s="4" customFormat="1" ht="33.75" customHeight="1">
      <c r="A19" s="44" t="s">
        <v>150</v>
      </c>
      <c r="B19" s="24" t="s">
        <v>112</v>
      </c>
      <c r="C19" s="24" t="s">
        <v>114</v>
      </c>
      <c r="D19" s="54" t="s">
        <v>9</v>
      </c>
      <c r="E19" s="24" t="s">
        <v>149</v>
      </c>
      <c r="F19" s="216">
        <f>G19+H19</f>
        <v>1822.88</v>
      </c>
      <c r="G19" s="209">
        <f>1735.88+87</f>
        <v>1822.88</v>
      </c>
      <c r="H19" s="209"/>
      <c r="I19" s="217">
        <v>1710.8373</v>
      </c>
      <c r="J19" s="148">
        <f t="shared" si="0"/>
        <v>93.85353396822609</v>
      </c>
      <c r="K19" s="60"/>
      <c r="L19" s="160">
        <f t="shared" si="3"/>
        <v>93.85353396822609</v>
      </c>
    </row>
    <row r="20" spans="1:12" s="15" customFormat="1" ht="65.25" customHeight="1">
      <c r="A20" s="270" t="s">
        <v>118</v>
      </c>
      <c r="B20" s="271" t="s">
        <v>112</v>
      </c>
      <c r="C20" s="271" t="s">
        <v>119</v>
      </c>
      <c r="D20" s="300" t="s">
        <v>262</v>
      </c>
      <c r="E20" s="271" t="s">
        <v>347</v>
      </c>
      <c r="F20" s="272">
        <f t="shared" si="2"/>
        <v>4049.8</v>
      </c>
      <c r="G20" s="273">
        <f>G21</f>
        <v>4049.8</v>
      </c>
      <c r="H20" s="273">
        <f>H21</f>
        <v>0</v>
      </c>
      <c r="I20" s="273">
        <f>I21</f>
        <v>4026.0018</v>
      </c>
      <c r="J20" s="274">
        <f t="shared" si="0"/>
        <v>99.41236110425206</v>
      </c>
      <c r="K20" s="141">
        <f>K21</f>
        <v>0</v>
      </c>
      <c r="L20" s="275">
        <f t="shared" si="3"/>
        <v>99.41236110425206</v>
      </c>
    </row>
    <row r="21" spans="1:12" s="4" customFormat="1" ht="33" customHeight="1">
      <c r="A21" s="44" t="s">
        <v>115</v>
      </c>
      <c r="B21" s="24" t="s">
        <v>112</v>
      </c>
      <c r="C21" s="24" t="s">
        <v>119</v>
      </c>
      <c r="D21" s="54" t="s">
        <v>7</v>
      </c>
      <c r="E21" s="24" t="s">
        <v>347</v>
      </c>
      <c r="F21" s="216">
        <f>F23+F26</f>
        <v>4049.8</v>
      </c>
      <c r="G21" s="216">
        <f>G23+G26</f>
        <v>4049.8</v>
      </c>
      <c r="H21" s="216">
        <f>H23+H26</f>
        <v>0</v>
      </c>
      <c r="I21" s="216">
        <f>I23+I26</f>
        <v>4026.0018</v>
      </c>
      <c r="J21" s="148">
        <f t="shared" si="0"/>
        <v>99.41236110425206</v>
      </c>
      <c r="K21" s="118">
        <f>K22</f>
        <v>0</v>
      </c>
      <c r="L21" s="119">
        <f t="shared" si="3"/>
        <v>99.41236110425206</v>
      </c>
    </row>
    <row r="22" spans="1:12" s="4" customFormat="1" ht="47.25" customHeight="1">
      <c r="A22" s="44" t="s">
        <v>116</v>
      </c>
      <c r="B22" s="24" t="s">
        <v>112</v>
      </c>
      <c r="C22" s="24" t="s">
        <v>119</v>
      </c>
      <c r="D22" s="54" t="s">
        <v>8</v>
      </c>
      <c r="E22" s="24" t="s">
        <v>347</v>
      </c>
      <c r="F22" s="216">
        <f t="shared" si="2"/>
        <v>4049.8</v>
      </c>
      <c r="G22" s="209">
        <f>G26+G23</f>
        <v>4049.8</v>
      </c>
      <c r="H22" s="209">
        <f>H26+H23</f>
        <v>0</v>
      </c>
      <c r="I22" s="217">
        <f>I23</f>
        <v>1910.54753</v>
      </c>
      <c r="J22" s="148">
        <f t="shared" si="0"/>
        <v>47.17634278235962</v>
      </c>
      <c r="K22" s="118">
        <f>K26+K23</f>
        <v>0</v>
      </c>
      <c r="L22" s="119">
        <f t="shared" si="3"/>
        <v>47.17634278235962</v>
      </c>
    </row>
    <row r="23" spans="1:12" s="43" customFormat="1" ht="33.75" customHeight="1">
      <c r="A23" s="51" t="s">
        <v>144</v>
      </c>
      <c r="B23" s="45" t="s">
        <v>112</v>
      </c>
      <c r="C23" s="45" t="s">
        <v>119</v>
      </c>
      <c r="D23" s="80" t="s">
        <v>10</v>
      </c>
      <c r="E23" s="45" t="s">
        <v>347</v>
      </c>
      <c r="F23" s="218">
        <f t="shared" si="2"/>
        <v>1914.5</v>
      </c>
      <c r="G23" s="219">
        <f>G24</f>
        <v>1914.5</v>
      </c>
      <c r="H23" s="219"/>
      <c r="I23" s="220">
        <f>I24</f>
        <v>1910.54753</v>
      </c>
      <c r="J23" s="149">
        <f t="shared" si="0"/>
        <v>99.79355079655264</v>
      </c>
      <c r="K23" s="120"/>
      <c r="L23" s="121">
        <f t="shared" si="3"/>
        <v>99.79355079655264</v>
      </c>
    </row>
    <row r="24" spans="1:12" s="4" customFormat="1" ht="98.25" customHeight="1">
      <c r="A24" s="44" t="s">
        <v>148</v>
      </c>
      <c r="B24" s="24" t="s">
        <v>112</v>
      </c>
      <c r="C24" s="24" t="s">
        <v>119</v>
      </c>
      <c r="D24" s="54" t="s">
        <v>10</v>
      </c>
      <c r="E24" s="24" t="s">
        <v>117</v>
      </c>
      <c r="F24" s="216">
        <f t="shared" si="2"/>
        <v>1914.5</v>
      </c>
      <c r="G24" s="209">
        <f>G25</f>
        <v>1914.5</v>
      </c>
      <c r="H24" s="209"/>
      <c r="I24" s="217">
        <f>I25</f>
        <v>1910.54753</v>
      </c>
      <c r="J24" s="148">
        <f t="shared" si="0"/>
        <v>99.79355079655264</v>
      </c>
      <c r="K24" s="118"/>
      <c r="L24" s="119">
        <f t="shared" si="3"/>
        <v>99.79355079655264</v>
      </c>
    </row>
    <row r="25" spans="1:12" s="4" customFormat="1" ht="35.25" customHeight="1">
      <c r="A25" s="44" t="s">
        <v>150</v>
      </c>
      <c r="B25" s="24" t="s">
        <v>112</v>
      </c>
      <c r="C25" s="24" t="s">
        <v>119</v>
      </c>
      <c r="D25" s="54" t="s">
        <v>10</v>
      </c>
      <c r="E25" s="24" t="s">
        <v>149</v>
      </c>
      <c r="F25" s="216">
        <f t="shared" si="2"/>
        <v>1914.5</v>
      </c>
      <c r="G25" s="209">
        <f>1623.5+251+48+7-15</f>
        <v>1914.5</v>
      </c>
      <c r="H25" s="209"/>
      <c r="I25" s="217">
        <v>1910.54753</v>
      </c>
      <c r="J25" s="148">
        <f t="shared" si="0"/>
        <v>99.79355079655264</v>
      </c>
      <c r="K25" s="118"/>
      <c r="L25" s="119">
        <f t="shared" si="3"/>
        <v>99.79355079655264</v>
      </c>
    </row>
    <row r="26" spans="1:12" s="43" customFormat="1" ht="48.75" customHeight="1">
      <c r="A26" s="51" t="s">
        <v>120</v>
      </c>
      <c r="B26" s="45" t="s">
        <v>112</v>
      </c>
      <c r="C26" s="45" t="s">
        <v>119</v>
      </c>
      <c r="D26" s="80" t="s">
        <v>11</v>
      </c>
      <c r="E26" s="45" t="s">
        <v>347</v>
      </c>
      <c r="F26" s="218">
        <f t="shared" si="2"/>
        <v>2135.3</v>
      </c>
      <c r="G26" s="219">
        <f>G27+G29+G31</f>
        <v>2135.3</v>
      </c>
      <c r="H26" s="219">
        <f>SUM(H27:H30)</f>
        <v>0</v>
      </c>
      <c r="I26" s="220">
        <v>2115.45427</v>
      </c>
      <c r="J26" s="149">
        <f t="shared" si="0"/>
        <v>99.07058820774598</v>
      </c>
      <c r="K26" s="120">
        <f>SUM(K27:K30)</f>
        <v>0</v>
      </c>
      <c r="L26" s="121">
        <f t="shared" si="3"/>
        <v>99.07058820774598</v>
      </c>
    </row>
    <row r="27" spans="1:12" s="4" customFormat="1" ht="94.5" customHeight="1">
      <c r="A27" s="44" t="s">
        <v>148</v>
      </c>
      <c r="B27" s="24" t="s">
        <v>112</v>
      </c>
      <c r="C27" s="24" t="s">
        <v>119</v>
      </c>
      <c r="D27" s="54" t="s">
        <v>11</v>
      </c>
      <c r="E27" s="24" t="s">
        <v>117</v>
      </c>
      <c r="F27" s="216">
        <f t="shared" si="2"/>
        <v>1561.4</v>
      </c>
      <c r="G27" s="209">
        <f>G28</f>
        <v>1561.4</v>
      </c>
      <c r="H27" s="209"/>
      <c r="I27" s="217">
        <f>I28</f>
        <v>1547.99464</v>
      </c>
      <c r="J27" s="148">
        <f t="shared" si="0"/>
        <v>99.14145254258997</v>
      </c>
      <c r="K27" s="118"/>
      <c r="L27" s="119">
        <f t="shared" si="3"/>
        <v>99.14145254258997</v>
      </c>
    </row>
    <row r="28" spans="1:12" s="4" customFormat="1" ht="35.25" customHeight="1">
      <c r="A28" s="44" t="s">
        <v>150</v>
      </c>
      <c r="B28" s="24" t="s">
        <v>112</v>
      </c>
      <c r="C28" s="24" t="s">
        <v>119</v>
      </c>
      <c r="D28" s="54" t="s">
        <v>11</v>
      </c>
      <c r="E28" s="24" t="s">
        <v>149</v>
      </c>
      <c r="F28" s="216">
        <f t="shared" si="2"/>
        <v>1561.4</v>
      </c>
      <c r="G28" s="209">
        <f>1337.5+403.9-150-30</f>
        <v>1561.4</v>
      </c>
      <c r="H28" s="209"/>
      <c r="I28" s="217">
        <v>1547.99464</v>
      </c>
      <c r="J28" s="148">
        <f t="shared" si="0"/>
        <v>99.14145254258997</v>
      </c>
      <c r="K28" s="118"/>
      <c r="L28" s="119">
        <f t="shared" si="3"/>
        <v>99.14145254258997</v>
      </c>
    </row>
    <row r="29" spans="1:12" s="4" customFormat="1" ht="33" customHeight="1">
      <c r="A29" s="44" t="s">
        <v>151</v>
      </c>
      <c r="B29" s="24" t="s">
        <v>112</v>
      </c>
      <c r="C29" s="24" t="s">
        <v>119</v>
      </c>
      <c r="D29" s="54" t="s">
        <v>11</v>
      </c>
      <c r="E29" s="24" t="s">
        <v>121</v>
      </c>
      <c r="F29" s="216">
        <f t="shared" si="2"/>
        <v>568.9</v>
      </c>
      <c r="G29" s="209">
        <f>G30</f>
        <v>568.9</v>
      </c>
      <c r="H29" s="209"/>
      <c r="I29" s="217">
        <f>I30</f>
        <v>566.85803</v>
      </c>
      <c r="J29" s="148">
        <f t="shared" si="0"/>
        <v>99.64106697134821</v>
      </c>
      <c r="K29" s="118"/>
      <c r="L29" s="119">
        <f t="shared" si="3"/>
        <v>99.64106697134821</v>
      </c>
    </row>
    <row r="30" spans="1:12" s="4" customFormat="1" ht="50.25" customHeight="1">
      <c r="A30" s="44" t="s">
        <v>152</v>
      </c>
      <c r="B30" s="24" t="s">
        <v>112</v>
      </c>
      <c r="C30" s="24" t="s">
        <v>119</v>
      </c>
      <c r="D30" s="54" t="s">
        <v>11</v>
      </c>
      <c r="E30" s="24" t="s">
        <v>153</v>
      </c>
      <c r="F30" s="216">
        <f t="shared" si="2"/>
        <v>568.9</v>
      </c>
      <c r="G30" s="209">
        <f>348.9+220</f>
        <v>568.9</v>
      </c>
      <c r="H30" s="209"/>
      <c r="I30" s="217">
        <v>566.85803</v>
      </c>
      <c r="J30" s="148">
        <f t="shared" si="0"/>
        <v>99.64106697134821</v>
      </c>
      <c r="K30" s="118"/>
      <c r="L30" s="119">
        <f t="shared" si="3"/>
        <v>99.64106697134821</v>
      </c>
    </row>
    <row r="31" spans="1:12" s="4" customFormat="1" ht="19.5" customHeight="1">
      <c r="A31" s="44" t="s">
        <v>156</v>
      </c>
      <c r="B31" s="24" t="s">
        <v>112</v>
      </c>
      <c r="C31" s="24" t="s">
        <v>119</v>
      </c>
      <c r="D31" s="54" t="s">
        <v>11</v>
      </c>
      <c r="E31" s="24" t="s">
        <v>157</v>
      </c>
      <c r="F31" s="216">
        <f>G31+H31</f>
        <v>5</v>
      </c>
      <c r="G31" s="209">
        <f>G32</f>
        <v>5</v>
      </c>
      <c r="H31" s="209"/>
      <c r="I31" s="217">
        <f>I32</f>
        <v>0.6016</v>
      </c>
      <c r="J31" s="148">
        <f t="shared" si="0"/>
        <v>12.032000000000002</v>
      </c>
      <c r="K31" s="118"/>
      <c r="L31" s="119">
        <f t="shared" si="3"/>
        <v>12.032000000000002</v>
      </c>
    </row>
    <row r="32" spans="1:12" s="4" customFormat="1" ht="18.75" customHeight="1">
      <c r="A32" s="44" t="s">
        <v>154</v>
      </c>
      <c r="B32" s="24" t="s">
        <v>112</v>
      </c>
      <c r="C32" s="24" t="s">
        <v>119</v>
      </c>
      <c r="D32" s="54" t="s">
        <v>11</v>
      </c>
      <c r="E32" s="24" t="s">
        <v>155</v>
      </c>
      <c r="F32" s="216">
        <f>G32+H32</f>
        <v>5</v>
      </c>
      <c r="G32" s="209">
        <v>5</v>
      </c>
      <c r="H32" s="209"/>
      <c r="I32" s="217">
        <v>0.6016</v>
      </c>
      <c r="J32" s="148">
        <f t="shared" si="0"/>
        <v>12.032000000000002</v>
      </c>
      <c r="K32" s="118"/>
      <c r="L32" s="119">
        <f t="shared" si="3"/>
        <v>12.032000000000002</v>
      </c>
    </row>
    <row r="33" spans="1:12" s="15" customFormat="1" ht="82.5" customHeight="1">
      <c r="A33" s="264" t="s">
        <v>277</v>
      </c>
      <c r="B33" s="265" t="s">
        <v>112</v>
      </c>
      <c r="C33" s="265" t="s">
        <v>123</v>
      </c>
      <c r="D33" s="299" t="s">
        <v>262</v>
      </c>
      <c r="E33" s="265" t="s">
        <v>347</v>
      </c>
      <c r="F33" s="266">
        <f t="shared" si="2"/>
        <v>17521.01</v>
      </c>
      <c r="G33" s="267">
        <f>G34</f>
        <v>17521.01</v>
      </c>
      <c r="H33" s="267"/>
      <c r="I33" s="267">
        <f>I34</f>
        <v>15000.8727</v>
      </c>
      <c r="J33" s="268">
        <f t="shared" si="0"/>
        <v>85.61648386708302</v>
      </c>
      <c r="K33" s="141"/>
      <c r="L33" s="275">
        <f t="shared" si="3"/>
        <v>85.61648386708302</v>
      </c>
    </row>
    <row r="34" spans="1:12" s="4" customFormat="1" ht="33.75" customHeight="1">
      <c r="A34" s="44" t="s">
        <v>115</v>
      </c>
      <c r="B34" s="24" t="s">
        <v>112</v>
      </c>
      <c r="C34" s="24" t="s">
        <v>123</v>
      </c>
      <c r="D34" s="54" t="s">
        <v>7</v>
      </c>
      <c r="E34" s="24" t="s">
        <v>347</v>
      </c>
      <c r="F34" s="216">
        <f t="shared" si="2"/>
        <v>17521.01</v>
      </c>
      <c r="G34" s="209">
        <f>G35</f>
        <v>17521.01</v>
      </c>
      <c r="H34" s="209"/>
      <c r="I34" s="217">
        <f>I35</f>
        <v>15000.8727</v>
      </c>
      <c r="J34" s="148">
        <f t="shared" si="0"/>
        <v>85.61648386708302</v>
      </c>
      <c r="K34" s="118"/>
      <c r="L34" s="119">
        <f t="shared" si="3"/>
        <v>85.61648386708302</v>
      </c>
    </row>
    <row r="35" spans="1:12" s="1" customFormat="1" ht="45.75" customHeight="1">
      <c r="A35" s="44" t="s">
        <v>116</v>
      </c>
      <c r="B35" s="24" t="s">
        <v>112</v>
      </c>
      <c r="C35" s="24" t="s">
        <v>123</v>
      </c>
      <c r="D35" s="54" t="s">
        <v>8</v>
      </c>
      <c r="E35" s="24" t="s">
        <v>347</v>
      </c>
      <c r="F35" s="216">
        <f>G35+H35</f>
        <v>17521.01</v>
      </c>
      <c r="G35" s="209">
        <f>G36</f>
        <v>17521.01</v>
      </c>
      <c r="H35" s="209">
        <f>H36</f>
        <v>0</v>
      </c>
      <c r="I35" s="217">
        <f>I36</f>
        <v>15000.8727</v>
      </c>
      <c r="J35" s="148">
        <f t="shared" si="0"/>
        <v>85.61648386708302</v>
      </c>
      <c r="K35" s="118">
        <f>K36</f>
        <v>0</v>
      </c>
      <c r="L35" s="119">
        <f t="shared" si="3"/>
        <v>85.61648386708302</v>
      </c>
    </row>
    <row r="36" spans="1:12" s="43" customFormat="1" ht="48.75" customHeight="1">
      <c r="A36" s="270" t="s">
        <v>120</v>
      </c>
      <c r="B36" s="271" t="s">
        <v>112</v>
      </c>
      <c r="C36" s="271" t="s">
        <v>123</v>
      </c>
      <c r="D36" s="300" t="s">
        <v>11</v>
      </c>
      <c r="E36" s="271" t="s">
        <v>347</v>
      </c>
      <c r="F36" s="272">
        <f>F37+F39+F41</f>
        <v>17521.01</v>
      </c>
      <c r="G36" s="272">
        <f>G37+G39+G41</f>
        <v>17521.01</v>
      </c>
      <c r="H36" s="272">
        <f>H37+H39+H41</f>
        <v>0</v>
      </c>
      <c r="I36" s="272">
        <f>I37+I39+I41</f>
        <v>15000.8727</v>
      </c>
      <c r="J36" s="274">
        <f t="shared" si="0"/>
        <v>85.61648386708302</v>
      </c>
      <c r="K36" s="276">
        <f>SUM(K37:K40)</f>
        <v>0</v>
      </c>
      <c r="L36" s="277">
        <f t="shared" si="3"/>
        <v>85.61648386708302</v>
      </c>
    </row>
    <row r="37" spans="1:12" s="4" customFormat="1" ht="96" customHeight="1">
      <c r="A37" s="44" t="s">
        <v>148</v>
      </c>
      <c r="B37" s="24" t="s">
        <v>112</v>
      </c>
      <c r="C37" s="24" t="s">
        <v>123</v>
      </c>
      <c r="D37" s="54" t="s">
        <v>11</v>
      </c>
      <c r="E37" s="24" t="s">
        <v>117</v>
      </c>
      <c r="F37" s="216">
        <f aca="true" t="shared" si="4" ref="F37:F168">G37+H37</f>
        <v>10556.96</v>
      </c>
      <c r="G37" s="209">
        <f>G38</f>
        <v>10556.96</v>
      </c>
      <c r="H37" s="209"/>
      <c r="I37" s="217">
        <v>9438.3949</v>
      </c>
      <c r="J37" s="148">
        <f t="shared" si="0"/>
        <v>89.40447723587094</v>
      </c>
      <c r="K37" s="118"/>
      <c r="L37" s="119">
        <f t="shared" si="3"/>
        <v>89.40447723587094</v>
      </c>
    </row>
    <row r="38" spans="1:12" s="4" customFormat="1" ht="39" customHeight="1">
      <c r="A38" s="44" t="s">
        <v>150</v>
      </c>
      <c r="B38" s="24" t="s">
        <v>112</v>
      </c>
      <c r="C38" s="24" t="s">
        <v>123</v>
      </c>
      <c r="D38" s="54" t="s">
        <v>11</v>
      </c>
      <c r="E38" s="24" t="s">
        <v>149</v>
      </c>
      <c r="F38" s="216">
        <f t="shared" si="4"/>
        <v>10556.96</v>
      </c>
      <c r="G38" s="209">
        <f>10888.16-80-64.2-50-87-50</f>
        <v>10556.96</v>
      </c>
      <c r="H38" s="209"/>
      <c r="I38" s="217">
        <v>9438.3949</v>
      </c>
      <c r="J38" s="148">
        <f t="shared" si="0"/>
        <v>89.40447723587094</v>
      </c>
      <c r="K38" s="118"/>
      <c r="L38" s="119">
        <f t="shared" si="3"/>
        <v>89.40447723587094</v>
      </c>
    </row>
    <row r="39" spans="1:12" s="4" customFormat="1" ht="33" customHeight="1">
      <c r="A39" s="44" t="s">
        <v>151</v>
      </c>
      <c r="B39" s="24" t="s">
        <v>112</v>
      </c>
      <c r="C39" s="24" t="s">
        <v>123</v>
      </c>
      <c r="D39" s="54" t="s">
        <v>11</v>
      </c>
      <c r="E39" s="24" t="s">
        <v>121</v>
      </c>
      <c r="F39" s="216">
        <f t="shared" si="4"/>
        <v>6364.05</v>
      </c>
      <c r="G39" s="209">
        <f>G40</f>
        <v>6364.05</v>
      </c>
      <c r="H39" s="209"/>
      <c r="I39" s="217">
        <v>5250.05458</v>
      </c>
      <c r="J39" s="148">
        <f t="shared" si="0"/>
        <v>82.49549547850819</v>
      </c>
      <c r="K39" s="118"/>
      <c r="L39" s="119">
        <f t="shared" si="3"/>
        <v>82.49549547850819</v>
      </c>
    </row>
    <row r="40" spans="1:12" s="4" customFormat="1" ht="36" customHeight="1">
      <c r="A40" s="44" t="s">
        <v>152</v>
      </c>
      <c r="B40" s="24" t="s">
        <v>112</v>
      </c>
      <c r="C40" s="24" t="s">
        <v>123</v>
      </c>
      <c r="D40" s="54" t="s">
        <v>11</v>
      </c>
      <c r="E40" s="24" t="s">
        <v>153</v>
      </c>
      <c r="F40" s="216">
        <f t="shared" si="4"/>
        <v>6364.05</v>
      </c>
      <c r="G40" s="209">
        <f>6271.55+42.5+50</f>
        <v>6364.05</v>
      </c>
      <c r="H40" s="209"/>
      <c r="I40" s="217">
        <v>5250.05458</v>
      </c>
      <c r="J40" s="148">
        <f t="shared" si="0"/>
        <v>82.49549547850819</v>
      </c>
      <c r="K40" s="118"/>
      <c r="L40" s="119">
        <f t="shared" si="3"/>
        <v>82.49549547850819</v>
      </c>
    </row>
    <row r="41" spans="1:12" s="4" customFormat="1" ht="18" customHeight="1">
      <c r="A41" s="44" t="s">
        <v>156</v>
      </c>
      <c r="B41" s="24" t="s">
        <v>112</v>
      </c>
      <c r="C41" s="24" t="s">
        <v>123</v>
      </c>
      <c r="D41" s="54" t="s">
        <v>11</v>
      </c>
      <c r="E41" s="24" t="s">
        <v>157</v>
      </c>
      <c r="F41" s="216">
        <f t="shared" si="4"/>
        <v>600</v>
      </c>
      <c r="G41" s="209">
        <f>G42</f>
        <v>600</v>
      </c>
      <c r="H41" s="209"/>
      <c r="I41" s="217">
        <v>312.42322</v>
      </c>
      <c r="J41" s="148">
        <f t="shared" si="0"/>
        <v>52.07053666666667</v>
      </c>
      <c r="K41" s="118"/>
      <c r="L41" s="119">
        <f t="shared" si="3"/>
        <v>52.07053666666667</v>
      </c>
    </row>
    <row r="42" spans="1:12" s="4" customFormat="1" ht="17.25" customHeight="1">
      <c r="A42" s="221" t="s">
        <v>154</v>
      </c>
      <c r="B42" s="24" t="s">
        <v>112</v>
      </c>
      <c r="C42" s="24" t="s">
        <v>123</v>
      </c>
      <c r="D42" s="54" t="s">
        <v>11</v>
      </c>
      <c r="E42" s="24" t="s">
        <v>155</v>
      </c>
      <c r="F42" s="216">
        <f t="shared" si="4"/>
        <v>600</v>
      </c>
      <c r="G42" s="209">
        <f>562+50-12</f>
        <v>600</v>
      </c>
      <c r="H42" s="209"/>
      <c r="I42" s="217">
        <v>312.42322</v>
      </c>
      <c r="J42" s="148">
        <f t="shared" si="0"/>
        <v>52.07053666666667</v>
      </c>
      <c r="K42" s="118"/>
      <c r="L42" s="119">
        <f t="shared" si="3"/>
        <v>52.07053666666667</v>
      </c>
    </row>
    <row r="43" spans="1:12" s="4" customFormat="1" ht="49.5" customHeight="1">
      <c r="A43" s="278" t="s">
        <v>590</v>
      </c>
      <c r="B43" s="265" t="s">
        <v>112</v>
      </c>
      <c r="C43" s="265" t="s">
        <v>326</v>
      </c>
      <c r="D43" s="299" t="s">
        <v>395</v>
      </c>
      <c r="E43" s="265" t="s">
        <v>347</v>
      </c>
      <c r="F43" s="266">
        <f>H43</f>
        <v>17.047</v>
      </c>
      <c r="G43" s="267"/>
      <c r="H43" s="267">
        <f>H44</f>
        <v>17.047</v>
      </c>
      <c r="I43" s="267">
        <v>17.047</v>
      </c>
      <c r="J43" s="268">
        <f t="shared" si="0"/>
        <v>100</v>
      </c>
      <c r="K43" s="279">
        <f>K44</f>
        <v>252.246</v>
      </c>
      <c r="L43" s="275">
        <f t="shared" si="3"/>
        <v>100</v>
      </c>
    </row>
    <row r="44" spans="1:12" s="4" customFormat="1" ht="33.75" customHeight="1">
      <c r="A44" s="44" t="s">
        <v>151</v>
      </c>
      <c r="B44" s="24" t="s">
        <v>112</v>
      </c>
      <c r="C44" s="24" t="s">
        <v>326</v>
      </c>
      <c r="D44" s="54" t="s">
        <v>395</v>
      </c>
      <c r="E44" s="24" t="s">
        <v>121</v>
      </c>
      <c r="F44" s="216">
        <f>H44</f>
        <v>17.047</v>
      </c>
      <c r="G44" s="209"/>
      <c r="H44" s="209">
        <f>H45</f>
        <v>17.047</v>
      </c>
      <c r="I44" s="217">
        <v>17.047</v>
      </c>
      <c r="J44" s="148">
        <f t="shared" si="0"/>
        <v>100</v>
      </c>
      <c r="K44" s="118">
        <f>K45</f>
        <v>252.246</v>
      </c>
      <c r="L44" s="119">
        <f t="shared" si="3"/>
        <v>100</v>
      </c>
    </row>
    <row r="45" spans="1:12" s="4" customFormat="1" ht="45" customHeight="1">
      <c r="A45" s="44" t="s">
        <v>152</v>
      </c>
      <c r="B45" s="24" t="s">
        <v>112</v>
      </c>
      <c r="C45" s="24" t="s">
        <v>326</v>
      </c>
      <c r="D45" s="54" t="s">
        <v>395</v>
      </c>
      <c r="E45" s="24" t="s">
        <v>153</v>
      </c>
      <c r="F45" s="216">
        <f>H45</f>
        <v>17.047</v>
      </c>
      <c r="G45" s="209"/>
      <c r="H45" s="209">
        <v>17.047</v>
      </c>
      <c r="I45" s="217">
        <v>17.047</v>
      </c>
      <c r="J45" s="148">
        <f t="shared" si="0"/>
        <v>100</v>
      </c>
      <c r="K45" s="123">
        <v>252.246</v>
      </c>
      <c r="L45" s="119">
        <f t="shared" si="3"/>
        <v>100</v>
      </c>
    </row>
    <row r="46" spans="1:12" s="15" customFormat="1" ht="63" customHeight="1">
      <c r="A46" s="270" t="s">
        <v>336</v>
      </c>
      <c r="B46" s="271" t="s">
        <v>112</v>
      </c>
      <c r="C46" s="271" t="s">
        <v>125</v>
      </c>
      <c r="D46" s="300" t="s">
        <v>262</v>
      </c>
      <c r="E46" s="271" t="s">
        <v>347</v>
      </c>
      <c r="F46" s="272">
        <f>F49+F56+F61</f>
        <v>7453.779999999999</v>
      </c>
      <c r="G46" s="272">
        <f>G49+G56+G61</f>
        <v>7453.779999999999</v>
      </c>
      <c r="H46" s="272">
        <f>H49+H56+H61</f>
        <v>0</v>
      </c>
      <c r="I46" s="272">
        <f>I49+I56+I61</f>
        <v>6871.8074799999995</v>
      </c>
      <c r="J46" s="274">
        <f t="shared" si="0"/>
        <v>92.19224983833708</v>
      </c>
      <c r="K46" s="279">
        <f>K47</f>
        <v>0</v>
      </c>
      <c r="L46" s="277">
        <f t="shared" si="3"/>
        <v>92.19224983833708</v>
      </c>
    </row>
    <row r="47" spans="1:12" ht="33.75" customHeight="1">
      <c r="A47" s="44" t="s">
        <v>295</v>
      </c>
      <c r="B47" s="24" t="s">
        <v>112</v>
      </c>
      <c r="C47" s="24" t="s">
        <v>125</v>
      </c>
      <c r="D47" s="54" t="s">
        <v>7</v>
      </c>
      <c r="E47" s="24" t="s">
        <v>347</v>
      </c>
      <c r="F47" s="216">
        <f t="shared" si="4"/>
        <v>7453.779999999999</v>
      </c>
      <c r="G47" s="209">
        <f>G48</f>
        <v>7453.779999999999</v>
      </c>
      <c r="H47" s="209">
        <f>H48</f>
        <v>0</v>
      </c>
      <c r="I47" s="217">
        <f>I48</f>
        <v>5553.83701</v>
      </c>
      <c r="J47" s="148">
        <f t="shared" si="0"/>
        <v>74.5103425376118</v>
      </c>
      <c r="K47" s="118">
        <f>K48</f>
        <v>0</v>
      </c>
      <c r="L47" s="119">
        <f t="shared" si="3"/>
        <v>74.5103425376118</v>
      </c>
    </row>
    <row r="48" spans="1:12" ht="47.25" customHeight="1">
      <c r="A48" s="44" t="s">
        <v>116</v>
      </c>
      <c r="B48" s="24" t="s">
        <v>112</v>
      </c>
      <c r="C48" s="24" t="s">
        <v>125</v>
      </c>
      <c r="D48" s="54" t="s">
        <v>8</v>
      </c>
      <c r="E48" s="24" t="s">
        <v>347</v>
      </c>
      <c r="F48" s="216">
        <f t="shared" si="4"/>
        <v>7453.779999999999</v>
      </c>
      <c r="G48" s="209">
        <f>G49+G56+G61</f>
        <v>7453.779999999999</v>
      </c>
      <c r="H48" s="209">
        <f>H49+H56+H61</f>
        <v>0</v>
      </c>
      <c r="I48" s="217">
        <f>I49</f>
        <v>5553.83701</v>
      </c>
      <c r="J48" s="148">
        <f t="shared" si="0"/>
        <v>74.5103425376118</v>
      </c>
      <c r="K48" s="118">
        <f>K49+K56+K61</f>
        <v>0</v>
      </c>
      <c r="L48" s="119">
        <f t="shared" si="3"/>
        <v>74.5103425376118</v>
      </c>
    </row>
    <row r="49" spans="1:12" s="43" customFormat="1" ht="48.75" customHeight="1">
      <c r="A49" s="51" t="s">
        <v>243</v>
      </c>
      <c r="B49" s="45" t="s">
        <v>112</v>
      </c>
      <c r="C49" s="45" t="s">
        <v>125</v>
      </c>
      <c r="D49" s="80" t="s">
        <v>11</v>
      </c>
      <c r="E49" s="45" t="s">
        <v>347</v>
      </c>
      <c r="F49" s="218">
        <f>F50+F52+F54</f>
        <v>6116.979999999999</v>
      </c>
      <c r="G49" s="218">
        <f>G50+G52+G54</f>
        <v>6116.979999999999</v>
      </c>
      <c r="H49" s="218">
        <f>H50+H52+H54</f>
        <v>0</v>
      </c>
      <c r="I49" s="218">
        <f>I50+I52+I54</f>
        <v>5553.83701</v>
      </c>
      <c r="J49" s="149">
        <f t="shared" si="0"/>
        <v>90.79377421538082</v>
      </c>
      <c r="K49" s="120">
        <f>SUM(K50:K55)</f>
        <v>0</v>
      </c>
      <c r="L49" s="121">
        <f t="shared" si="3"/>
        <v>90.79377421538082</v>
      </c>
    </row>
    <row r="50" spans="1:12" s="4" customFormat="1" ht="95.25" customHeight="1">
      <c r="A50" s="44" t="s">
        <v>148</v>
      </c>
      <c r="B50" s="24" t="s">
        <v>112</v>
      </c>
      <c r="C50" s="24" t="s">
        <v>125</v>
      </c>
      <c r="D50" s="54" t="s">
        <v>11</v>
      </c>
      <c r="E50" s="24" t="s">
        <v>117</v>
      </c>
      <c r="F50" s="216">
        <f t="shared" si="4"/>
        <v>5289.179999999999</v>
      </c>
      <c r="G50" s="209">
        <f>G51</f>
        <v>5289.179999999999</v>
      </c>
      <c r="H50" s="209"/>
      <c r="I50" s="217">
        <f>I51</f>
        <v>4743.33337</v>
      </c>
      <c r="J50" s="148">
        <f t="shared" si="0"/>
        <v>89.67993847817621</v>
      </c>
      <c r="K50" s="118"/>
      <c r="L50" s="119">
        <f t="shared" si="3"/>
        <v>89.67993847817621</v>
      </c>
    </row>
    <row r="51" spans="1:12" s="4" customFormat="1" ht="33" customHeight="1">
      <c r="A51" s="44" t="s">
        <v>150</v>
      </c>
      <c r="B51" s="24" t="s">
        <v>112</v>
      </c>
      <c r="C51" s="24" t="s">
        <v>125</v>
      </c>
      <c r="D51" s="54" t="s">
        <v>11</v>
      </c>
      <c r="E51" s="24" t="s">
        <v>149</v>
      </c>
      <c r="F51" s="216">
        <f t="shared" si="4"/>
        <v>5289.179999999999</v>
      </c>
      <c r="G51" s="209">
        <f>5368.98-20-50-9.8</f>
        <v>5289.179999999999</v>
      </c>
      <c r="H51" s="209"/>
      <c r="I51" s="217">
        <v>4743.33337</v>
      </c>
      <c r="J51" s="148">
        <f t="shared" si="0"/>
        <v>89.67993847817621</v>
      </c>
      <c r="K51" s="118"/>
      <c r="L51" s="119">
        <f t="shared" si="3"/>
        <v>89.67993847817621</v>
      </c>
    </row>
    <row r="52" spans="1:12" s="4" customFormat="1" ht="33" customHeight="1">
      <c r="A52" s="44" t="s">
        <v>151</v>
      </c>
      <c r="B52" s="24" t="s">
        <v>112</v>
      </c>
      <c r="C52" s="24" t="s">
        <v>125</v>
      </c>
      <c r="D52" s="54" t="s">
        <v>11</v>
      </c>
      <c r="E52" s="24" t="s">
        <v>121</v>
      </c>
      <c r="F52" s="216">
        <f t="shared" si="4"/>
        <v>824.76506</v>
      </c>
      <c r="G52" s="209">
        <f>G53</f>
        <v>824.76506</v>
      </c>
      <c r="H52" s="209"/>
      <c r="I52" s="217">
        <f>I53</f>
        <v>807.4687</v>
      </c>
      <c r="J52" s="148">
        <f t="shared" si="0"/>
        <v>97.90287430459288</v>
      </c>
      <c r="K52" s="118"/>
      <c r="L52" s="119">
        <f t="shared" si="3"/>
        <v>97.90287430459288</v>
      </c>
    </row>
    <row r="53" spans="1:12" s="4" customFormat="1" ht="48" customHeight="1">
      <c r="A53" s="44" t="s">
        <v>152</v>
      </c>
      <c r="B53" s="24" t="s">
        <v>112</v>
      </c>
      <c r="C53" s="24" t="s">
        <v>125</v>
      </c>
      <c r="D53" s="54" t="s">
        <v>11</v>
      </c>
      <c r="E53" s="24" t="s">
        <v>153</v>
      </c>
      <c r="F53" s="216">
        <f t="shared" si="4"/>
        <v>824.76506</v>
      </c>
      <c r="G53" s="209">
        <f>805+19.8-0.03494</f>
        <v>824.76506</v>
      </c>
      <c r="H53" s="209"/>
      <c r="I53" s="217">
        <v>807.4687</v>
      </c>
      <c r="J53" s="148">
        <f t="shared" si="0"/>
        <v>97.90287430459288</v>
      </c>
      <c r="K53" s="118"/>
      <c r="L53" s="119">
        <f t="shared" si="3"/>
        <v>97.90287430459288</v>
      </c>
    </row>
    <row r="54" spans="1:12" s="4" customFormat="1" ht="17.25" customHeight="1">
      <c r="A54" s="44" t="s">
        <v>156</v>
      </c>
      <c r="B54" s="24" t="s">
        <v>112</v>
      </c>
      <c r="C54" s="24" t="s">
        <v>125</v>
      </c>
      <c r="D54" s="54" t="s">
        <v>11</v>
      </c>
      <c r="E54" s="24" t="s">
        <v>157</v>
      </c>
      <c r="F54" s="216">
        <f t="shared" si="4"/>
        <v>3.03494</v>
      </c>
      <c r="G54" s="209">
        <f>G55</f>
        <v>3.03494</v>
      </c>
      <c r="H54" s="209"/>
      <c r="I54" s="217">
        <f>I55</f>
        <v>3.03494</v>
      </c>
      <c r="J54" s="148">
        <f t="shared" si="0"/>
        <v>100</v>
      </c>
      <c r="K54" s="118"/>
      <c r="L54" s="119">
        <f t="shared" si="3"/>
        <v>100</v>
      </c>
    </row>
    <row r="55" spans="1:12" ht="17.25" customHeight="1">
      <c r="A55" s="44" t="s">
        <v>154</v>
      </c>
      <c r="B55" s="24" t="s">
        <v>112</v>
      </c>
      <c r="C55" s="24" t="s">
        <v>125</v>
      </c>
      <c r="D55" s="54" t="s">
        <v>11</v>
      </c>
      <c r="E55" s="24" t="s">
        <v>155</v>
      </c>
      <c r="F55" s="216">
        <f t="shared" si="4"/>
        <v>3.03494</v>
      </c>
      <c r="G55" s="209">
        <f>13-10+0.03494</f>
        <v>3.03494</v>
      </c>
      <c r="H55" s="209"/>
      <c r="I55" s="217">
        <v>3.03494</v>
      </c>
      <c r="J55" s="148">
        <f t="shared" si="0"/>
        <v>100</v>
      </c>
      <c r="K55" s="118"/>
      <c r="L55" s="119">
        <f t="shared" si="3"/>
        <v>100</v>
      </c>
    </row>
    <row r="56" spans="1:12" s="49" customFormat="1" ht="39" customHeight="1">
      <c r="A56" s="51" t="s">
        <v>127</v>
      </c>
      <c r="B56" s="45" t="s">
        <v>112</v>
      </c>
      <c r="C56" s="45" t="s">
        <v>125</v>
      </c>
      <c r="D56" s="80" t="s">
        <v>11</v>
      </c>
      <c r="E56" s="45" t="s">
        <v>347</v>
      </c>
      <c r="F56" s="220">
        <f>F57+F59</f>
        <v>62.6</v>
      </c>
      <c r="G56" s="220">
        <f>G57+G59</f>
        <v>62.6</v>
      </c>
      <c r="H56" s="220">
        <f>H57+H59</f>
        <v>0</v>
      </c>
      <c r="I56" s="220">
        <f>I57+I59</f>
        <v>57.255269999999996</v>
      </c>
      <c r="J56" s="149">
        <f t="shared" si="0"/>
        <v>91.46209265175717</v>
      </c>
      <c r="K56" s="120"/>
      <c r="L56" s="121">
        <f t="shared" si="3"/>
        <v>91.46209265175717</v>
      </c>
    </row>
    <row r="57" spans="1:12" ht="34.5" customHeight="1">
      <c r="A57" s="44" t="s">
        <v>151</v>
      </c>
      <c r="B57" s="24" t="s">
        <v>112</v>
      </c>
      <c r="C57" s="24" t="s">
        <v>125</v>
      </c>
      <c r="D57" s="54" t="s">
        <v>11</v>
      </c>
      <c r="E57" s="24" t="s">
        <v>121</v>
      </c>
      <c r="F57" s="216">
        <f t="shared" si="4"/>
        <v>60.6</v>
      </c>
      <c r="G57" s="209">
        <f>G58</f>
        <v>60.6</v>
      </c>
      <c r="H57" s="209"/>
      <c r="I57" s="217">
        <f>I58</f>
        <v>57.25172</v>
      </c>
      <c r="J57" s="148">
        <f t="shared" si="0"/>
        <v>94.47478547854786</v>
      </c>
      <c r="K57" s="118"/>
      <c r="L57" s="119">
        <f t="shared" si="3"/>
        <v>94.47478547854786</v>
      </c>
    </row>
    <row r="58" spans="1:12" s="4" customFormat="1" ht="45.75" customHeight="1">
      <c r="A58" s="44" t="s">
        <v>152</v>
      </c>
      <c r="B58" s="24" t="s">
        <v>112</v>
      </c>
      <c r="C58" s="24" t="s">
        <v>125</v>
      </c>
      <c r="D58" s="54" t="s">
        <v>11</v>
      </c>
      <c r="E58" s="24" t="s">
        <v>153</v>
      </c>
      <c r="F58" s="216">
        <f t="shared" si="4"/>
        <v>60.6</v>
      </c>
      <c r="G58" s="209">
        <v>60.6</v>
      </c>
      <c r="H58" s="209"/>
      <c r="I58" s="217">
        <v>57.25172</v>
      </c>
      <c r="J58" s="148">
        <f t="shared" si="0"/>
        <v>94.47478547854786</v>
      </c>
      <c r="K58" s="118"/>
      <c r="L58" s="119">
        <f t="shared" si="3"/>
        <v>94.47478547854786</v>
      </c>
    </row>
    <row r="59" spans="1:12" s="4" customFormat="1" ht="16.5" customHeight="1">
      <c r="A59" s="44" t="s">
        <v>156</v>
      </c>
      <c r="B59" s="24" t="s">
        <v>112</v>
      </c>
      <c r="C59" s="24" t="s">
        <v>125</v>
      </c>
      <c r="D59" s="54" t="s">
        <v>11</v>
      </c>
      <c r="E59" s="24" t="s">
        <v>157</v>
      </c>
      <c r="F59" s="216">
        <f t="shared" si="4"/>
        <v>2</v>
      </c>
      <c r="G59" s="209">
        <f>G60</f>
        <v>2</v>
      </c>
      <c r="H59" s="209"/>
      <c r="I59" s="217">
        <f>I60</f>
        <v>0.00355</v>
      </c>
      <c r="J59" s="148">
        <f t="shared" si="0"/>
        <v>0.17750000000000002</v>
      </c>
      <c r="K59" s="118"/>
      <c r="L59" s="119">
        <f t="shared" si="3"/>
        <v>0.17750000000000002</v>
      </c>
    </row>
    <row r="60" spans="1:12" s="4" customFormat="1" ht="17.25" customHeight="1">
      <c r="A60" s="221" t="s">
        <v>154</v>
      </c>
      <c r="B60" s="24" t="s">
        <v>112</v>
      </c>
      <c r="C60" s="24" t="s">
        <v>125</v>
      </c>
      <c r="D60" s="54" t="s">
        <v>11</v>
      </c>
      <c r="E60" s="24" t="s">
        <v>155</v>
      </c>
      <c r="F60" s="216">
        <f t="shared" si="4"/>
        <v>2</v>
      </c>
      <c r="G60" s="209">
        <v>2</v>
      </c>
      <c r="H60" s="209"/>
      <c r="I60" s="217">
        <v>0.00355</v>
      </c>
      <c r="J60" s="148">
        <f t="shared" si="0"/>
        <v>0.17750000000000002</v>
      </c>
      <c r="K60" s="118"/>
      <c r="L60" s="119">
        <f t="shared" si="3"/>
        <v>0.17750000000000002</v>
      </c>
    </row>
    <row r="61" spans="1:12" s="43" customFormat="1" ht="16.5" customHeight="1">
      <c r="A61" s="51" t="s">
        <v>128</v>
      </c>
      <c r="B61" s="45" t="s">
        <v>112</v>
      </c>
      <c r="C61" s="45" t="s">
        <v>125</v>
      </c>
      <c r="D61" s="80" t="s">
        <v>12</v>
      </c>
      <c r="E61" s="45" t="s">
        <v>347</v>
      </c>
      <c r="F61" s="218">
        <f t="shared" si="4"/>
        <v>1274.2</v>
      </c>
      <c r="G61" s="219">
        <f>G63</f>
        <v>1274.2</v>
      </c>
      <c r="H61" s="219">
        <f>H63</f>
        <v>0</v>
      </c>
      <c r="I61" s="220">
        <f>I62</f>
        <v>1260.7152</v>
      </c>
      <c r="J61" s="149">
        <f t="shared" si="0"/>
        <v>98.94170459896407</v>
      </c>
      <c r="K61" s="120">
        <f>K63</f>
        <v>0</v>
      </c>
      <c r="L61" s="121">
        <f t="shared" si="3"/>
        <v>98.94170459896407</v>
      </c>
    </row>
    <row r="62" spans="1:12" s="4" customFormat="1" ht="89.25" customHeight="1">
      <c r="A62" s="44" t="s">
        <v>148</v>
      </c>
      <c r="B62" s="24" t="s">
        <v>112</v>
      </c>
      <c r="C62" s="24" t="s">
        <v>125</v>
      </c>
      <c r="D62" s="54" t="s">
        <v>12</v>
      </c>
      <c r="E62" s="24" t="s">
        <v>117</v>
      </c>
      <c r="F62" s="216">
        <f t="shared" si="4"/>
        <v>1274.2</v>
      </c>
      <c r="G62" s="209">
        <f>G63</f>
        <v>1274.2</v>
      </c>
      <c r="H62" s="209"/>
      <c r="I62" s="217">
        <f>I63</f>
        <v>1260.7152</v>
      </c>
      <c r="J62" s="148">
        <f t="shared" si="0"/>
        <v>98.94170459896407</v>
      </c>
      <c r="K62" s="118"/>
      <c r="L62" s="119">
        <f t="shared" si="3"/>
        <v>98.94170459896407</v>
      </c>
    </row>
    <row r="63" spans="1:12" s="4" customFormat="1" ht="34.5" customHeight="1">
      <c r="A63" s="44" t="s">
        <v>150</v>
      </c>
      <c r="B63" s="24" t="s">
        <v>112</v>
      </c>
      <c r="C63" s="24" t="s">
        <v>125</v>
      </c>
      <c r="D63" s="54" t="s">
        <v>12</v>
      </c>
      <c r="E63" s="24" t="s">
        <v>149</v>
      </c>
      <c r="F63" s="216">
        <f t="shared" si="4"/>
        <v>1274.2</v>
      </c>
      <c r="G63" s="209">
        <v>1274.2</v>
      </c>
      <c r="H63" s="209"/>
      <c r="I63" s="217">
        <v>1260.7152</v>
      </c>
      <c r="J63" s="148">
        <f t="shared" si="0"/>
        <v>98.94170459896407</v>
      </c>
      <c r="K63" s="118"/>
      <c r="L63" s="119">
        <f t="shared" si="3"/>
        <v>98.94170459896407</v>
      </c>
    </row>
    <row r="64" spans="1:12" s="15" customFormat="1" ht="18.75" customHeight="1" hidden="1">
      <c r="A64" s="44" t="s">
        <v>129</v>
      </c>
      <c r="B64" s="24" t="s">
        <v>112</v>
      </c>
      <c r="C64" s="24" t="s">
        <v>130</v>
      </c>
      <c r="D64" s="54" t="s">
        <v>346</v>
      </c>
      <c r="E64" s="24" t="s">
        <v>347</v>
      </c>
      <c r="F64" s="216">
        <f>G64+H64</f>
        <v>0</v>
      </c>
      <c r="G64" s="209">
        <f>G65</f>
        <v>0</v>
      </c>
      <c r="H64" s="209">
        <f>H65</f>
        <v>0</v>
      </c>
      <c r="I64" s="217"/>
      <c r="J64" s="148" t="e">
        <f t="shared" si="0"/>
        <v>#DIV/0!</v>
      </c>
      <c r="K64" s="126">
        <f>K65</f>
        <v>0</v>
      </c>
      <c r="L64" s="119" t="e">
        <f t="shared" si="3"/>
        <v>#DIV/0!</v>
      </c>
    </row>
    <row r="65" spans="1:12" s="4" customFormat="1" ht="33" customHeight="1" hidden="1">
      <c r="A65" s="44" t="s">
        <v>131</v>
      </c>
      <c r="B65" s="24" t="s">
        <v>112</v>
      </c>
      <c r="C65" s="24" t="s">
        <v>130</v>
      </c>
      <c r="D65" s="54" t="s">
        <v>236</v>
      </c>
      <c r="E65" s="24" t="s">
        <v>347</v>
      </c>
      <c r="F65" s="216">
        <f t="shared" si="4"/>
        <v>0</v>
      </c>
      <c r="G65" s="209">
        <f>G67</f>
        <v>0</v>
      </c>
      <c r="H65" s="209">
        <f>H67</f>
        <v>0</v>
      </c>
      <c r="I65" s="217"/>
      <c r="J65" s="148" t="e">
        <f t="shared" si="0"/>
        <v>#DIV/0!</v>
      </c>
      <c r="K65" s="118">
        <f>K67</f>
        <v>0</v>
      </c>
      <c r="L65" s="119" t="e">
        <f t="shared" si="3"/>
        <v>#DIV/0!</v>
      </c>
    </row>
    <row r="66" spans="1:12" s="4" customFormat="1" ht="16.5" customHeight="1" hidden="1">
      <c r="A66" s="44" t="s">
        <v>156</v>
      </c>
      <c r="B66" s="24" t="s">
        <v>112</v>
      </c>
      <c r="C66" s="24" t="s">
        <v>130</v>
      </c>
      <c r="D66" s="54" t="s">
        <v>236</v>
      </c>
      <c r="E66" s="24" t="s">
        <v>157</v>
      </c>
      <c r="F66" s="216">
        <f t="shared" si="4"/>
        <v>0</v>
      </c>
      <c r="G66" s="209">
        <f>G67</f>
        <v>0</v>
      </c>
      <c r="H66" s="209"/>
      <c r="I66" s="217"/>
      <c r="J66" s="148" t="e">
        <f t="shared" si="0"/>
        <v>#DIV/0!</v>
      </c>
      <c r="K66" s="118"/>
      <c r="L66" s="119" t="e">
        <f t="shared" si="3"/>
        <v>#DIV/0!</v>
      </c>
    </row>
    <row r="67" spans="1:12" s="4" customFormat="1" ht="18.75" customHeight="1" hidden="1">
      <c r="A67" s="44" t="s">
        <v>158</v>
      </c>
      <c r="B67" s="24" t="s">
        <v>112</v>
      </c>
      <c r="C67" s="24" t="s">
        <v>130</v>
      </c>
      <c r="D67" s="54" t="s">
        <v>236</v>
      </c>
      <c r="E67" s="24" t="s">
        <v>159</v>
      </c>
      <c r="F67" s="216">
        <f t="shared" si="4"/>
        <v>0</v>
      </c>
      <c r="G67" s="209">
        <v>0</v>
      </c>
      <c r="H67" s="209"/>
      <c r="I67" s="217"/>
      <c r="J67" s="148" t="e">
        <f t="shared" si="0"/>
        <v>#DIV/0!</v>
      </c>
      <c r="K67" s="118"/>
      <c r="L67" s="119" t="e">
        <f t="shared" si="3"/>
        <v>#DIV/0!</v>
      </c>
    </row>
    <row r="68" spans="1:12" s="4" customFormat="1" ht="21" customHeight="1">
      <c r="A68" s="284" t="s">
        <v>430</v>
      </c>
      <c r="B68" s="281" t="s">
        <v>112</v>
      </c>
      <c r="C68" s="281" t="s">
        <v>329</v>
      </c>
      <c r="D68" s="301" t="s">
        <v>262</v>
      </c>
      <c r="E68" s="281" t="s">
        <v>347</v>
      </c>
      <c r="F68" s="282">
        <f t="shared" si="4"/>
        <v>2722.12075</v>
      </c>
      <c r="G68" s="285">
        <f>G69</f>
        <v>2722.12075</v>
      </c>
      <c r="H68" s="285"/>
      <c r="I68" s="285">
        <f>I69</f>
        <v>2722.12075</v>
      </c>
      <c r="J68" s="283">
        <f t="shared" si="0"/>
        <v>100</v>
      </c>
      <c r="K68" s="286"/>
      <c r="L68" s="277">
        <f t="shared" si="3"/>
        <v>100</v>
      </c>
    </row>
    <row r="69" spans="1:12" s="4" customFormat="1" ht="35.25" customHeight="1">
      <c r="A69" s="44" t="s">
        <v>431</v>
      </c>
      <c r="B69" s="24" t="s">
        <v>112</v>
      </c>
      <c r="C69" s="24" t="s">
        <v>329</v>
      </c>
      <c r="D69" s="54" t="s">
        <v>7</v>
      </c>
      <c r="E69" s="24" t="s">
        <v>347</v>
      </c>
      <c r="F69" s="216">
        <f t="shared" si="4"/>
        <v>2722.12075</v>
      </c>
      <c r="G69" s="209">
        <f>G70</f>
        <v>2722.12075</v>
      </c>
      <c r="H69" s="209"/>
      <c r="I69" s="217">
        <f>I70</f>
        <v>2722.12075</v>
      </c>
      <c r="J69" s="148">
        <f t="shared" si="0"/>
        <v>100</v>
      </c>
      <c r="K69" s="118"/>
      <c r="L69" s="119">
        <f t="shared" si="3"/>
        <v>100</v>
      </c>
    </row>
    <row r="70" spans="1:12" s="4" customFormat="1" ht="36.75" customHeight="1">
      <c r="A70" s="44" t="s">
        <v>116</v>
      </c>
      <c r="B70" s="24" t="s">
        <v>112</v>
      </c>
      <c r="C70" s="24" t="s">
        <v>329</v>
      </c>
      <c r="D70" s="54" t="s">
        <v>8</v>
      </c>
      <c r="E70" s="24" t="s">
        <v>347</v>
      </c>
      <c r="F70" s="216">
        <f t="shared" si="4"/>
        <v>2722.12075</v>
      </c>
      <c r="G70" s="209">
        <f>G71</f>
        <v>2722.12075</v>
      </c>
      <c r="H70" s="209"/>
      <c r="I70" s="217">
        <f>I71</f>
        <v>2722.12075</v>
      </c>
      <c r="J70" s="148">
        <f t="shared" si="0"/>
        <v>100</v>
      </c>
      <c r="K70" s="118"/>
      <c r="L70" s="119">
        <f t="shared" si="3"/>
        <v>100</v>
      </c>
    </row>
    <row r="71" spans="1:12" s="4" customFormat="1" ht="33" customHeight="1">
      <c r="A71" s="44" t="s">
        <v>432</v>
      </c>
      <c r="B71" s="24" t="s">
        <v>112</v>
      </c>
      <c r="C71" s="24" t="s">
        <v>329</v>
      </c>
      <c r="D71" s="54" t="s">
        <v>433</v>
      </c>
      <c r="E71" s="24" t="s">
        <v>347</v>
      </c>
      <c r="F71" s="216">
        <f t="shared" si="4"/>
        <v>2722.12075</v>
      </c>
      <c r="G71" s="209">
        <f>G72</f>
        <v>2722.12075</v>
      </c>
      <c r="H71" s="209"/>
      <c r="I71" s="217">
        <f>I72</f>
        <v>2722.12075</v>
      </c>
      <c r="J71" s="148">
        <f t="shared" si="0"/>
        <v>100</v>
      </c>
      <c r="K71" s="118"/>
      <c r="L71" s="119">
        <f t="shared" si="3"/>
        <v>100</v>
      </c>
    </row>
    <row r="72" spans="1:12" s="4" customFormat="1" ht="18.75" customHeight="1">
      <c r="A72" s="44" t="s">
        <v>156</v>
      </c>
      <c r="B72" s="24" t="s">
        <v>112</v>
      </c>
      <c r="C72" s="24" t="s">
        <v>329</v>
      </c>
      <c r="D72" s="54" t="s">
        <v>433</v>
      </c>
      <c r="E72" s="24" t="s">
        <v>157</v>
      </c>
      <c r="F72" s="216">
        <f t="shared" si="4"/>
        <v>2722.12075</v>
      </c>
      <c r="G72" s="209">
        <f>G73</f>
        <v>2722.12075</v>
      </c>
      <c r="H72" s="209"/>
      <c r="I72" s="217">
        <f>I73</f>
        <v>2722.12075</v>
      </c>
      <c r="J72" s="148">
        <f t="shared" si="0"/>
        <v>100</v>
      </c>
      <c r="K72" s="118"/>
      <c r="L72" s="119">
        <f t="shared" si="3"/>
        <v>100</v>
      </c>
    </row>
    <row r="73" spans="1:12" s="4" customFormat="1" ht="17.25" customHeight="1">
      <c r="A73" s="114" t="s">
        <v>538</v>
      </c>
      <c r="B73" s="24" t="s">
        <v>112</v>
      </c>
      <c r="C73" s="24" t="s">
        <v>329</v>
      </c>
      <c r="D73" s="54" t="s">
        <v>433</v>
      </c>
      <c r="E73" s="24" t="s">
        <v>537</v>
      </c>
      <c r="F73" s="216">
        <f t="shared" si="4"/>
        <v>2722.12075</v>
      </c>
      <c r="G73" s="209">
        <f>3111.15-389.02925</f>
        <v>2722.12075</v>
      </c>
      <c r="H73" s="209"/>
      <c r="I73" s="217">
        <v>2722.12075</v>
      </c>
      <c r="J73" s="148">
        <f t="shared" si="0"/>
        <v>100</v>
      </c>
      <c r="K73" s="118"/>
      <c r="L73" s="119">
        <f t="shared" si="3"/>
        <v>100</v>
      </c>
    </row>
    <row r="74" spans="1:12" s="4" customFormat="1" ht="19.5" customHeight="1">
      <c r="A74" s="284" t="s">
        <v>129</v>
      </c>
      <c r="B74" s="281" t="s">
        <v>112</v>
      </c>
      <c r="C74" s="281" t="s">
        <v>130</v>
      </c>
      <c r="D74" s="301" t="s">
        <v>262</v>
      </c>
      <c r="E74" s="281" t="s">
        <v>347</v>
      </c>
      <c r="F74" s="282">
        <f t="shared" si="4"/>
        <v>91.90273000000005</v>
      </c>
      <c r="G74" s="285">
        <f>G75</f>
        <v>91.90273000000005</v>
      </c>
      <c r="H74" s="285"/>
      <c r="I74" s="285">
        <f>I75</f>
        <v>0</v>
      </c>
      <c r="J74" s="283">
        <f t="shared" si="0"/>
        <v>0</v>
      </c>
      <c r="K74" s="286">
        <f>K75+K110+K128+K135+K102+K138</f>
        <v>7217.6630000000005</v>
      </c>
      <c r="L74" s="277">
        <f t="shared" si="3"/>
        <v>0</v>
      </c>
    </row>
    <row r="75" spans="1:12" s="4" customFormat="1" ht="33.75" customHeight="1">
      <c r="A75" s="110" t="s">
        <v>115</v>
      </c>
      <c r="B75" s="24" t="s">
        <v>112</v>
      </c>
      <c r="C75" s="24" t="s">
        <v>130</v>
      </c>
      <c r="D75" s="113" t="s">
        <v>7</v>
      </c>
      <c r="E75" s="111" t="s">
        <v>347</v>
      </c>
      <c r="F75" s="216">
        <f t="shared" si="4"/>
        <v>91.90273000000005</v>
      </c>
      <c r="G75" s="209">
        <f>G76</f>
        <v>91.90273000000005</v>
      </c>
      <c r="H75" s="209"/>
      <c r="I75" s="217">
        <v>0</v>
      </c>
      <c r="J75" s="148">
        <f t="shared" si="0"/>
        <v>0</v>
      </c>
      <c r="K75" s="118">
        <f>K80+K85+K90+K95+K100</f>
        <v>3554.942</v>
      </c>
      <c r="L75" s="119">
        <f t="shared" si="3"/>
        <v>0</v>
      </c>
    </row>
    <row r="76" spans="1:12" s="4" customFormat="1" ht="49.5" customHeight="1">
      <c r="A76" s="110" t="s">
        <v>116</v>
      </c>
      <c r="B76" s="24" t="s">
        <v>112</v>
      </c>
      <c r="C76" s="24" t="s">
        <v>130</v>
      </c>
      <c r="D76" s="113" t="s">
        <v>8</v>
      </c>
      <c r="E76" s="111" t="s">
        <v>347</v>
      </c>
      <c r="F76" s="216">
        <f t="shared" si="4"/>
        <v>91.90273000000005</v>
      </c>
      <c r="G76" s="209">
        <f>G77</f>
        <v>91.90273000000005</v>
      </c>
      <c r="H76" s="209"/>
      <c r="I76" s="217">
        <v>0</v>
      </c>
      <c r="J76" s="148">
        <f t="shared" si="0"/>
        <v>0</v>
      </c>
      <c r="K76" s="153"/>
      <c r="L76" s="119">
        <f t="shared" si="3"/>
        <v>0</v>
      </c>
    </row>
    <row r="77" spans="1:12" s="4" customFormat="1" ht="33" customHeight="1">
      <c r="A77" s="110" t="s">
        <v>530</v>
      </c>
      <c r="B77" s="24" t="s">
        <v>112</v>
      </c>
      <c r="C77" s="24" t="s">
        <v>130</v>
      </c>
      <c r="D77" s="54" t="s">
        <v>531</v>
      </c>
      <c r="E77" s="111" t="s">
        <v>347</v>
      </c>
      <c r="F77" s="216">
        <f t="shared" si="4"/>
        <v>91.90273000000005</v>
      </c>
      <c r="G77" s="209">
        <f>G78</f>
        <v>91.90273000000005</v>
      </c>
      <c r="H77" s="209"/>
      <c r="I77" s="217">
        <v>0</v>
      </c>
      <c r="J77" s="148">
        <f aca="true" t="shared" si="5" ref="J77:J143">I77/F77*100</f>
        <v>0</v>
      </c>
      <c r="K77" s="153"/>
      <c r="L77" s="119">
        <f t="shared" si="3"/>
        <v>0</v>
      </c>
    </row>
    <row r="78" spans="1:12" s="4" customFormat="1" ht="20.25" customHeight="1">
      <c r="A78" s="110" t="s">
        <v>156</v>
      </c>
      <c r="B78" s="24" t="s">
        <v>112</v>
      </c>
      <c r="C78" s="24" t="s">
        <v>130</v>
      </c>
      <c r="D78" s="54" t="s">
        <v>531</v>
      </c>
      <c r="E78" s="111" t="s">
        <v>157</v>
      </c>
      <c r="F78" s="216">
        <f t="shared" si="4"/>
        <v>91.90273000000005</v>
      </c>
      <c r="G78" s="209">
        <f>G79</f>
        <v>91.90273000000005</v>
      </c>
      <c r="H78" s="209"/>
      <c r="I78" s="217">
        <v>0</v>
      </c>
      <c r="J78" s="148">
        <f t="shared" si="5"/>
        <v>0</v>
      </c>
      <c r="K78" s="153"/>
      <c r="L78" s="119">
        <f t="shared" si="3"/>
        <v>0</v>
      </c>
    </row>
    <row r="79" spans="1:12" s="4" customFormat="1" ht="18" customHeight="1">
      <c r="A79" s="110" t="s">
        <v>158</v>
      </c>
      <c r="B79" s="24" t="s">
        <v>112</v>
      </c>
      <c r="C79" s="24" t="s">
        <v>130</v>
      </c>
      <c r="D79" s="54" t="s">
        <v>531</v>
      </c>
      <c r="E79" s="111" t="s">
        <v>159</v>
      </c>
      <c r="F79" s="216">
        <f t="shared" si="4"/>
        <v>91.90273000000005</v>
      </c>
      <c r="G79" s="209">
        <f>100+150-48-13.698+450-13.55491-27.10982-33.61446-13.11601-13.11601-13.55491-13.55491-13.11601-13.55491-13.11601-13.55491-80.45164-13.55491-13.11601-53.78072-13.55491-78.602+75-187.37621</f>
        <v>91.90273000000005</v>
      </c>
      <c r="H79" s="209"/>
      <c r="I79" s="217">
        <v>0</v>
      </c>
      <c r="J79" s="148">
        <f t="shared" si="5"/>
        <v>0</v>
      </c>
      <c r="K79" s="153"/>
      <c r="L79" s="119">
        <f aca="true" t="shared" si="6" ref="L79:L142">I79/F79*100</f>
        <v>0</v>
      </c>
    </row>
    <row r="80" spans="1:12" s="15" customFormat="1" ht="18.75" customHeight="1">
      <c r="A80" s="287" t="s">
        <v>294</v>
      </c>
      <c r="B80" s="288" t="s">
        <v>112</v>
      </c>
      <c r="C80" s="288" t="s">
        <v>132</v>
      </c>
      <c r="D80" s="302" t="s">
        <v>262</v>
      </c>
      <c r="E80" s="288" t="s">
        <v>347</v>
      </c>
      <c r="F80" s="289">
        <f>F82+F87+F92+F97+F112+F120+F125+F128+F131+F141+F148+F157+F160+F163+F166+F169+F175+F189+F192+F197+F115</f>
        <v>23444.18352</v>
      </c>
      <c r="G80" s="289">
        <f>G82+G87+G92+G97+G112+G120+G125+G128+G131+G141+G148+G157+G160+G163+G166+G169+G175+G189+G192+G197+G115</f>
        <v>7063.343690000001</v>
      </c>
      <c r="H80" s="289">
        <f>H82+H87+H92+H97+H112+H120+H125+H128+H131+H141+H148+H157+H160+H163+H166+H169+H175+H189+H192+H197+H115</f>
        <v>16255.847829999999</v>
      </c>
      <c r="I80" s="289">
        <f>I82+I87+I92+I97+I112+I120+I125+I128+I131+I141+I148+I157+I160+I163+I166+I169+I175+I189+I192+I197+I115</f>
        <v>16075.815489999997</v>
      </c>
      <c r="J80" s="290">
        <f t="shared" si="5"/>
        <v>68.57059225920953</v>
      </c>
      <c r="K80" s="291">
        <f>K81+K83</f>
        <v>582.287</v>
      </c>
      <c r="L80" s="275">
        <f t="shared" si="6"/>
        <v>68.57059225920953</v>
      </c>
    </row>
    <row r="81" spans="1:12" s="4" customFormat="1" ht="17.25" customHeight="1">
      <c r="A81" s="44" t="s">
        <v>133</v>
      </c>
      <c r="B81" s="24" t="s">
        <v>112</v>
      </c>
      <c r="C81" s="24" t="s">
        <v>132</v>
      </c>
      <c r="D81" s="54" t="s">
        <v>262</v>
      </c>
      <c r="E81" s="24" t="s">
        <v>347</v>
      </c>
      <c r="F81" s="216">
        <f>F82+F87+F92+F97+F112+F115</f>
        <v>4799.3730000000005</v>
      </c>
      <c r="G81" s="216">
        <f>G82+G87+G92+G97+G112+G115</f>
        <v>0</v>
      </c>
      <c r="H81" s="216">
        <f>H82+H87+H92+H97+H112+H115</f>
        <v>4674.381</v>
      </c>
      <c r="I81" s="216">
        <f>I82+I87+I92+I97+I112+I115</f>
        <v>4799.3724</v>
      </c>
      <c r="J81" s="148">
        <f t="shared" si="5"/>
        <v>99.99998749836698</v>
      </c>
      <c r="K81" s="118">
        <f>K82</f>
        <v>380.90308</v>
      </c>
      <c r="L81" s="119">
        <f t="shared" si="6"/>
        <v>99.99998749836698</v>
      </c>
    </row>
    <row r="82" spans="1:12" s="30" customFormat="1" ht="64.5" customHeight="1">
      <c r="A82" s="270" t="s">
        <v>134</v>
      </c>
      <c r="B82" s="271" t="s">
        <v>112</v>
      </c>
      <c r="C82" s="271" t="s">
        <v>132</v>
      </c>
      <c r="D82" s="300" t="s">
        <v>13</v>
      </c>
      <c r="E82" s="271" t="s">
        <v>347</v>
      </c>
      <c r="F82" s="272">
        <f t="shared" si="4"/>
        <v>774.9810000000001</v>
      </c>
      <c r="G82" s="273">
        <f>SUM(G83:G86)</f>
        <v>0</v>
      </c>
      <c r="H82" s="273">
        <f>H83+H85</f>
        <v>774.9810000000001</v>
      </c>
      <c r="I82" s="273">
        <v>774.9804</v>
      </c>
      <c r="J82" s="274">
        <f t="shared" si="5"/>
        <v>99.99992257874707</v>
      </c>
      <c r="K82" s="293">
        <f>439.007-28.56905-29.53487</f>
        <v>380.90308</v>
      </c>
      <c r="L82" s="277">
        <f t="shared" si="6"/>
        <v>99.99992257874707</v>
      </c>
    </row>
    <row r="83" spans="1:12" s="4" customFormat="1" ht="82.5" customHeight="1">
      <c r="A83" s="44" t="s">
        <v>148</v>
      </c>
      <c r="B83" s="24" t="s">
        <v>112</v>
      </c>
      <c r="C83" s="24" t="s">
        <v>132</v>
      </c>
      <c r="D83" s="54" t="s">
        <v>13</v>
      </c>
      <c r="E83" s="24" t="s">
        <v>117</v>
      </c>
      <c r="F83" s="216">
        <f t="shared" si="4"/>
        <v>515.4580000000001</v>
      </c>
      <c r="G83" s="209"/>
      <c r="H83" s="209">
        <f>H84</f>
        <v>515.4580000000001</v>
      </c>
      <c r="I83" s="217">
        <f>I84</f>
        <v>515.4574</v>
      </c>
      <c r="J83" s="148">
        <f t="shared" si="5"/>
        <v>99.9998835986637</v>
      </c>
      <c r="K83" s="118">
        <f>K84</f>
        <v>201.38392</v>
      </c>
      <c r="L83" s="119">
        <f t="shared" si="6"/>
        <v>99.9998835986637</v>
      </c>
    </row>
    <row r="84" spans="1:12" s="4" customFormat="1" ht="33" customHeight="1">
      <c r="A84" s="74" t="s">
        <v>150</v>
      </c>
      <c r="B84" s="24" t="s">
        <v>112</v>
      </c>
      <c r="C84" s="24" t="s">
        <v>132</v>
      </c>
      <c r="D84" s="54" t="s">
        <v>13</v>
      </c>
      <c r="E84" s="24" t="s">
        <v>149</v>
      </c>
      <c r="F84" s="216">
        <f t="shared" si="4"/>
        <v>515.4580000000001</v>
      </c>
      <c r="G84" s="209"/>
      <c r="H84" s="209">
        <f>514.7+0.758</f>
        <v>515.4580000000001</v>
      </c>
      <c r="I84" s="217">
        <v>515.4574</v>
      </c>
      <c r="J84" s="148">
        <f t="shared" si="5"/>
        <v>99.9998835986637</v>
      </c>
      <c r="K84" s="125">
        <f>143.28-19.41902+26.963+50.55994</f>
        <v>201.38392</v>
      </c>
      <c r="L84" s="119">
        <f t="shared" si="6"/>
        <v>99.9998835986637</v>
      </c>
    </row>
    <row r="85" spans="1:12" s="4" customFormat="1" ht="33.75" customHeight="1">
      <c r="A85" s="44" t="s">
        <v>151</v>
      </c>
      <c r="B85" s="24" t="s">
        <v>112</v>
      </c>
      <c r="C85" s="24" t="s">
        <v>132</v>
      </c>
      <c r="D85" s="54" t="s">
        <v>13</v>
      </c>
      <c r="E85" s="24" t="s">
        <v>121</v>
      </c>
      <c r="F85" s="216">
        <f t="shared" si="4"/>
        <v>259.523</v>
      </c>
      <c r="G85" s="209"/>
      <c r="H85" s="209">
        <f>H86</f>
        <v>259.523</v>
      </c>
      <c r="I85" s="217">
        <f>I86</f>
        <v>259.523</v>
      </c>
      <c r="J85" s="148">
        <f t="shared" si="5"/>
        <v>100</v>
      </c>
      <c r="K85" s="120">
        <f>K86+K88</f>
        <v>1076.974</v>
      </c>
      <c r="L85" s="119">
        <f t="shared" si="6"/>
        <v>100</v>
      </c>
    </row>
    <row r="86" spans="1:12" s="4" customFormat="1" ht="32.25" customHeight="1">
      <c r="A86" s="74" t="s">
        <v>152</v>
      </c>
      <c r="B86" s="24" t="s">
        <v>112</v>
      </c>
      <c r="C86" s="24" t="s">
        <v>132</v>
      </c>
      <c r="D86" s="54" t="s">
        <v>13</v>
      </c>
      <c r="E86" s="24" t="s">
        <v>153</v>
      </c>
      <c r="F86" s="216">
        <f t="shared" si="4"/>
        <v>259.523</v>
      </c>
      <c r="G86" s="209"/>
      <c r="H86" s="209">
        <f>253.774+6.507-0.758</f>
        <v>259.523</v>
      </c>
      <c r="I86" s="217">
        <v>259.523</v>
      </c>
      <c r="J86" s="148">
        <f t="shared" si="5"/>
        <v>100</v>
      </c>
      <c r="K86" s="118">
        <f>K87</f>
        <v>1026.09006</v>
      </c>
      <c r="L86" s="119">
        <f t="shared" si="6"/>
        <v>100</v>
      </c>
    </row>
    <row r="87" spans="1:12" s="50" customFormat="1" ht="48" customHeight="1">
      <c r="A87" s="270" t="s">
        <v>357</v>
      </c>
      <c r="B87" s="271" t="s">
        <v>112</v>
      </c>
      <c r="C87" s="271" t="s">
        <v>132</v>
      </c>
      <c r="D87" s="300" t="s">
        <v>14</v>
      </c>
      <c r="E87" s="271" t="s">
        <v>347</v>
      </c>
      <c r="F87" s="272">
        <f t="shared" si="4"/>
        <v>1167.127</v>
      </c>
      <c r="G87" s="273">
        <f>SUM(G88:G91)</f>
        <v>0</v>
      </c>
      <c r="H87" s="273">
        <f>H88+H90</f>
        <v>1167.127</v>
      </c>
      <c r="I87" s="273">
        <v>1167.127</v>
      </c>
      <c r="J87" s="274">
        <f t="shared" si="5"/>
        <v>100</v>
      </c>
      <c r="K87" s="292">
        <f>1018.5+7.59006</f>
        <v>1026.09006</v>
      </c>
      <c r="L87" s="277">
        <f t="shared" si="6"/>
        <v>100</v>
      </c>
    </row>
    <row r="88" spans="1:12" s="18" customFormat="1" ht="77.25" customHeight="1">
      <c r="A88" s="44" t="s">
        <v>148</v>
      </c>
      <c r="B88" s="24" t="s">
        <v>112</v>
      </c>
      <c r="C88" s="24" t="s">
        <v>132</v>
      </c>
      <c r="D88" s="54" t="s">
        <v>14</v>
      </c>
      <c r="E88" s="24" t="s">
        <v>117</v>
      </c>
      <c r="F88" s="216">
        <f t="shared" si="4"/>
        <v>1032.33028</v>
      </c>
      <c r="G88" s="226"/>
      <c r="H88" s="209">
        <f>H89</f>
        <v>1032.33028</v>
      </c>
      <c r="I88" s="217">
        <f>I89</f>
        <v>1032.33028</v>
      </c>
      <c r="J88" s="148">
        <f t="shared" si="5"/>
        <v>100</v>
      </c>
      <c r="K88" s="118">
        <f>K89</f>
        <v>50.883939999999996</v>
      </c>
      <c r="L88" s="119">
        <f t="shared" si="6"/>
        <v>100</v>
      </c>
    </row>
    <row r="89" spans="1:12" s="4" customFormat="1" ht="31.5" customHeight="1">
      <c r="A89" s="74" t="s">
        <v>150</v>
      </c>
      <c r="B89" s="24" t="s">
        <v>112</v>
      </c>
      <c r="C89" s="24" t="s">
        <v>132</v>
      </c>
      <c r="D89" s="54" t="s">
        <v>14</v>
      </c>
      <c r="E89" s="24" t="s">
        <v>149</v>
      </c>
      <c r="F89" s="216">
        <f t="shared" si="4"/>
        <v>1032.33028</v>
      </c>
      <c r="G89" s="209"/>
      <c r="H89" s="209">
        <f>954.8+77.59022-0.05994</f>
        <v>1032.33028</v>
      </c>
      <c r="I89" s="217">
        <v>1032.33028</v>
      </c>
      <c r="J89" s="148">
        <f t="shared" si="5"/>
        <v>100</v>
      </c>
      <c r="K89" s="125">
        <f>58.474+8.63634-16.2264</f>
        <v>50.883939999999996</v>
      </c>
      <c r="L89" s="119">
        <f t="shared" si="6"/>
        <v>100</v>
      </c>
    </row>
    <row r="90" spans="1:12" s="4" customFormat="1" ht="33.75" customHeight="1">
      <c r="A90" s="44" t="s">
        <v>151</v>
      </c>
      <c r="B90" s="24" t="s">
        <v>112</v>
      </c>
      <c r="C90" s="24" t="s">
        <v>132</v>
      </c>
      <c r="D90" s="54" t="s">
        <v>14</v>
      </c>
      <c r="E90" s="24" t="s">
        <v>121</v>
      </c>
      <c r="F90" s="216">
        <f t="shared" si="4"/>
        <v>134.79672000000002</v>
      </c>
      <c r="G90" s="209"/>
      <c r="H90" s="209">
        <f>H91</f>
        <v>134.79672000000002</v>
      </c>
      <c r="I90" s="217">
        <f>I91</f>
        <v>134.79672</v>
      </c>
      <c r="J90" s="148">
        <f t="shared" si="5"/>
        <v>99.99999999999997</v>
      </c>
      <c r="K90" s="120">
        <f>K91+K93</f>
        <v>689.481</v>
      </c>
      <c r="L90" s="119">
        <f t="shared" si="6"/>
        <v>99.99999999999997</v>
      </c>
    </row>
    <row r="91" spans="1:12" s="4" customFormat="1" ht="33.75" customHeight="1">
      <c r="A91" s="74" t="s">
        <v>152</v>
      </c>
      <c r="B91" s="24" t="s">
        <v>112</v>
      </c>
      <c r="C91" s="24" t="s">
        <v>132</v>
      </c>
      <c r="D91" s="54" t="s">
        <v>14</v>
      </c>
      <c r="E91" s="24" t="s">
        <v>153</v>
      </c>
      <c r="F91" s="216">
        <f t="shared" si="4"/>
        <v>134.79672000000002</v>
      </c>
      <c r="G91" s="209"/>
      <c r="H91" s="209">
        <f>202.29+10.037-77.59022+0.05994</f>
        <v>134.79672000000002</v>
      </c>
      <c r="I91" s="217">
        <v>134.79672</v>
      </c>
      <c r="J91" s="148">
        <f t="shared" si="5"/>
        <v>99.99999999999997</v>
      </c>
      <c r="K91" s="118">
        <f>K92</f>
        <v>334.1392799999999</v>
      </c>
      <c r="L91" s="119">
        <f t="shared" si="6"/>
        <v>99.99999999999997</v>
      </c>
    </row>
    <row r="92" spans="1:12" s="30" customFormat="1" ht="49.5" customHeight="1">
      <c r="A92" s="270" t="s">
        <v>135</v>
      </c>
      <c r="B92" s="271" t="s">
        <v>112</v>
      </c>
      <c r="C92" s="271" t="s">
        <v>132</v>
      </c>
      <c r="D92" s="300" t="s">
        <v>15</v>
      </c>
      <c r="E92" s="271" t="s">
        <v>347</v>
      </c>
      <c r="F92" s="272">
        <f>F93+F95</f>
        <v>746.896</v>
      </c>
      <c r="G92" s="273">
        <f>SUM(G93:G96)</f>
        <v>0</v>
      </c>
      <c r="H92" s="273">
        <f>H93+H95</f>
        <v>746.896</v>
      </c>
      <c r="I92" s="273">
        <v>746.896</v>
      </c>
      <c r="J92" s="274">
        <f t="shared" si="5"/>
        <v>100</v>
      </c>
      <c r="K92" s="292">
        <f>604.501-209.72149-70.80767+10.16744</f>
        <v>334.1392799999999</v>
      </c>
      <c r="L92" s="277">
        <f t="shared" si="6"/>
        <v>100</v>
      </c>
    </row>
    <row r="93" spans="1:12" s="4" customFormat="1" ht="78.75" customHeight="1">
      <c r="A93" s="44" t="s">
        <v>148</v>
      </c>
      <c r="B93" s="24" t="s">
        <v>112</v>
      </c>
      <c r="C93" s="24" t="s">
        <v>132</v>
      </c>
      <c r="D93" s="54" t="s">
        <v>15</v>
      </c>
      <c r="E93" s="24" t="s">
        <v>117</v>
      </c>
      <c r="F93" s="217">
        <v>712.87736</v>
      </c>
      <c r="G93" s="209"/>
      <c r="H93" s="209">
        <f>H94</f>
        <v>716.32736</v>
      </c>
      <c r="I93" s="217">
        <v>712.87736</v>
      </c>
      <c r="J93" s="148">
        <f t="shared" si="5"/>
        <v>100</v>
      </c>
      <c r="K93" s="118">
        <f>K94</f>
        <v>355.34172</v>
      </c>
      <c r="L93" s="119">
        <f t="shared" si="6"/>
        <v>100</v>
      </c>
    </row>
    <row r="94" spans="1:12" s="4" customFormat="1" ht="31.5" customHeight="1">
      <c r="A94" s="74" t="s">
        <v>150</v>
      </c>
      <c r="B94" s="24" t="s">
        <v>112</v>
      </c>
      <c r="C94" s="24" t="s">
        <v>132</v>
      </c>
      <c r="D94" s="54" t="s">
        <v>15</v>
      </c>
      <c r="E94" s="24" t="s">
        <v>149</v>
      </c>
      <c r="F94" s="216">
        <v>712.87736</v>
      </c>
      <c r="G94" s="209"/>
      <c r="H94" s="209">
        <f>718.6-11+8.72736</f>
        <v>716.32736</v>
      </c>
      <c r="I94" s="217">
        <v>712.87736</v>
      </c>
      <c r="J94" s="148">
        <f t="shared" si="5"/>
        <v>100</v>
      </c>
      <c r="K94" s="125">
        <f>84.98+280.52916-10.16744</f>
        <v>355.34172</v>
      </c>
      <c r="L94" s="119">
        <f t="shared" si="6"/>
        <v>100</v>
      </c>
    </row>
    <row r="95" spans="1:12" s="4" customFormat="1" ht="35.25" customHeight="1">
      <c r="A95" s="44" t="s">
        <v>151</v>
      </c>
      <c r="B95" s="24" t="s">
        <v>112</v>
      </c>
      <c r="C95" s="24" t="s">
        <v>132</v>
      </c>
      <c r="D95" s="54" t="s">
        <v>15</v>
      </c>
      <c r="E95" s="24" t="s">
        <v>121</v>
      </c>
      <c r="F95" s="217">
        <v>34.01864</v>
      </c>
      <c r="G95" s="209"/>
      <c r="H95" s="209">
        <f>H96</f>
        <v>30.568640000000002</v>
      </c>
      <c r="I95" s="217">
        <v>34.01864</v>
      </c>
      <c r="J95" s="148">
        <f t="shared" si="5"/>
        <v>100</v>
      </c>
      <c r="K95" s="127">
        <f>K96+K98</f>
        <v>1206.1999999999998</v>
      </c>
      <c r="L95" s="119">
        <f t="shared" si="6"/>
        <v>100</v>
      </c>
    </row>
    <row r="96" spans="1:12" s="4" customFormat="1" ht="36" customHeight="1">
      <c r="A96" s="74" t="s">
        <v>152</v>
      </c>
      <c r="B96" s="24" t="s">
        <v>112</v>
      </c>
      <c r="C96" s="24" t="s">
        <v>132</v>
      </c>
      <c r="D96" s="54" t="s">
        <v>15</v>
      </c>
      <c r="E96" s="24" t="s">
        <v>153</v>
      </c>
      <c r="F96" s="217">
        <v>34.01864</v>
      </c>
      <c r="G96" s="209"/>
      <c r="H96" s="209">
        <f>21.904+6.392+11-8.72736</f>
        <v>30.568640000000002</v>
      </c>
      <c r="I96" s="217">
        <v>34.01864</v>
      </c>
      <c r="J96" s="148">
        <f t="shared" si="5"/>
        <v>100</v>
      </c>
      <c r="K96" s="118">
        <f>K97</f>
        <v>891.6658199999999</v>
      </c>
      <c r="L96" s="119">
        <f t="shared" si="6"/>
        <v>100</v>
      </c>
    </row>
    <row r="97" spans="1:12" s="30" customFormat="1" ht="93" customHeight="1">
      <c r="A97" s="270" t="s">
        <v>16</v>
      </c>
      <c r="B97" s="271" t="s">
        <v>112</v>
      </c>
      <c r="C97" s="271" t="s">
        <v>132</v>
      </c>
      <c r="D97" s="300" t="s">
        <v>263</v>
      </c>
      <c r="E97" s="271" t="s">
        <v>347</v>
      </c>
      <c r="F97" s="272">
        <f t="shared" si="4"/>
        <v>1798.09</v>
      </c>
      <c r="G97" s="273">
        <f>SUM(G98:G101)</f>
        <v>0</v>
      </c>
      <c r="H97" s="273">
        <f>H98+H100</f>
        <v>1798.09</v>
      </c>
      <c r="I97" s="273">
        <v>1798.09</v>
      </c>
      <c r="J97" s="274">
        <f t="shared" si="5"/>
        <v>100</v>
      </c>
      <c r="K97" s="292">
        <f>1087.5-135.44321-15.1-45.29097</f>
        <v>891.6658199999999</v>
      </c>
      <c r="L97" s="277">
        <f t="shared" si="6"/>
        <v>100</v>
      </c>
    </row>
    <row r="98" spans="1:12" s="4" customFormat="1" ht="75.75" customHeight="1">
      <c r="A98" s="44" t="s">
        <v>148</v>
      </c>
      <c r="B98" s="24" t="s">
        <v>112</v>
      </c>
      <c r="C98" s="24" t="s">
        <v>132</v>
      </c>
      <c r="D98" s="54" t="s">
        <v>263</v>
      </c>
      <c r="E98" s="24" t="s">
        <v>117</v>
      </c>
      <c r="F98" s="216">
        <f t="shared" si="4"/>
        <v>1333.73176</v>
      </c>
      <c r="G98" s="209"/>
      <c r="H98" s="209">
        <f>H99</f>
        <v>1333.73176</v>
      </c>
      <c r="I98" s="217">
        <f>I99</f>
        <v>1333.73176</v>
      </c>
      <c r="J98" s="148">
        <f t="shared" si="5"/>
        <v>100</v>
      </c>
      <c r="K98" s="118">
        <f>K99</f>
        <v>314.53418</v>
      </c>
      <c r="L98" s="119">
        <f t="shared" si="6"/>
        <v>100</v>
      </c>
    </row>
    <row r="99" spans="1:12" s="4" customFormat="1" ht="31.5" customHeight="1">
      <c r="A99" s="74" t="s">
        <v>150</v>
      </c>
      <c r="B99" s="24" t="s">
        <v>112</v>
      </c>
      <c r="C99" s="24" t="s">
        <v>132</v>
      </c>
      <c r="D99" s="54" t="s">
        <v>263</v>
      </c>
      <c r="E99" s="24" t="s">
        <v>149</v>
      </c>
      <c r="F99" s="216">
        <f t="shared" si="4"/>
        <v>1333.73176</v>
      </c>
      <c r="G99" s="209"/>
      <c r="H99" s="209">
        <f>1547.74+147.56+1.8+8.6-194-101-76.96824</f>
        <v>1333.73176</v>
      </c>
      <c r="I99" s="217">
        <v>1333.73176</v>
      </c>
      <c r="J99" s="148">
        <f t="shared" si="5"/>
        <v>100</v>
      </c>
      <c r="K99" s="125">
        <f>597.5-15.4341-3.058-11.3644-253.10932</f>
        <v>314.53418</v>
      </c>
      <c r="L99" s="119">
        <f t="shared" si="6"/>
        <v>100</v>
      </c>
    </row>
    <row r="100" spans="1:12" s="4" customFormat="1" ht="33" customHeight="1">
      <c r="A100" s="44" t="s">
        <v>151</v>
      </c>
      <c r="B100" s="24" t="s">
        <v>112</v>
      </c>
      <c r="C100" s="24" t="s">
        <v>132</v>
      </c>
      <c r="D100" s="54" t="s">
        <v>263</v>
      </c>
      <c r="E100" s="24" t="s">
        <v>121</v>
      </c>
      <c r="F100" s="216">
        <f t="shared" si="4"/>
        <v>464.35823999999997</v>
      </c>
      <c r="G100" s="209"/>
      <c r="H100" s="209">
        <f>H101</f>
        <v>464.35823999999997</v>
      </c>
      <c r="I100" s="217">
        <f>I101</f>
        <v>464.35824</v>
      </c>
      <c r="J100" s="148">
        <f t="shared" si="5"/>
        <v>100.00000000000003</v>
      </c>
      <c r="K100" s="84">
        <f>K101</f>
        <v>0</v>
      </c>
      <c r="L100" s="119">
        <f t="shared" si="6"/>
        <v>100.00000000000003</v>
      </c>
    </row>
    <row r="101" spans="1:12" s="4" customFormat="1" ht="39.75" customHeight="1">
      <c r="A101" s="74" t="s">
        <v>152</v>
      </c>
      <c r="B101" s="24" t="s">
        <v>112</v>
      </c>
      <c r="C101" s="24" t="s">
        <v>132</v>
      </c>
      <c r="D101" s="54" t="s">
        <v>263</v>
      </c>
      <c r="E101" s="24" t="s">
        <v>153</v>
      </c>
      <c r="F101" s="216">
        <f t="shared" si="4"/>
        <v>464.35823999999997</v>
      </c>
      <c r="G101" s="209"/>
      <c r="H101" s="209">
        <f>43.32+207.03-150.96-7+194+101+76.96824</f>
        <v>464.35823999999997</v>
      </c>
      <c r="I101" s="217">
        <v>464.35824</v>
      </c>
      <c r="J101" s="148">
        <f t="shared" si="5"/>
        <v>100.00000000000003</v>
      </c>
      <c r="K101" s="118"/>
      <c r="L101" s="119">
        <f t="shared" si="6"/>
        <v>100.00000000000003</v>
      </c>
    </row>
    <row r="102" spans="1:12" s="4" customFormat="1" ht="128.25" customHeight="1" hidden="1">
      <c r="A102" s="74" t="s">
        <v>141</v>
      </c>
      <c r="B102" s="24" t="s">
        <v>112</v>
      </c>
      <c r="C102" s="24" t="s">
        <v>132</v>
      </c>
      <c r="D102" s="54" t="s">
        <v>278</v>
      </c>
      <c r="E102" s="24" t="s">
        <v>347</v>
      </c>
      <c r="F102" s="216">
        <f t="shared" si="4"/>
        <v>0</v>
      </c>
      <c r="G102" s="209"/>
      <c r="H102" s="209">
        <f>H103</f>
        <v>0</v>
      </c>
      <c r="I102" s="217">
        <v>0</v>
      </c>
      <c r="J102" s="148" t="e">
        <f t="shared" si="5"/>
        <v>#DIV/0!</v>
      </c>
      <c r="K102" s="59">
        <f>K107+K104</f>
        <v>3662.721</v>
      </c>
      <c r="L102" s="119" t="e">
        <f t="shared" si="6"/>
        <v>#DIV/0!</v>
      </c>
    </row>
    <row r="103" spans="1:12" s="4" customFormat="1" ht="50.25" customHeight="1" hidden="1">
      <c r="A103" s="74" t="s">
        <v>152</v>
      </c>
      <c r="B103" s="24" t="s">
        <v>112</v>
      </c>
      <c r="C103" s="24" t="s">
        <v>132</v>
      </c>
      <c r="D103" s="54" t="s">
        <v>278</v>
      </c>
      <c r="E103" s="24" t="s">
        <v>153</v>
      </c>
      <c r="F103" s="216">
        <f t="shared" si="4"/>
        <v>0</v>
      </c>
      <c r="G103" s="209"/>
      <c r="H103" s="209"/>
      <c r="I103" s="217">
        <v>0</v>
      </c>
      <c r="J103" s="148" t="e">
        <f t="shared" si="5"/>
        <v>#DIV/0!</v>
      </c>
      <c r="K103" s="128"/>
      <c r="L103" s="119" t="e">
        <f t="shared" si="6"/>
        <v>#DIV/0!</v>
      </c>
    </row>
    <row r="104" spans="1:12" s="1" customFormat="1" ht="18.75" customHeight="1" hidden="1">
      <c r="A104" s="227" t="s">
        <v>294</v>
      </c>
      <c r="B104" s="31" t="s">
        <v>112</v>
      </c>
      <c r="C104" s="31" t="s">
        <v>132</v>
      </c>
      <c r="D104" s="92" t="s">
        <v>262</v>
      </c>
      <c r="E104" s="31" t="s">
        <v>347</v>
      </c>
      <c r="F104" s="214">
        <f t="shared" si="4"/>
        <v>0</v>
      </c>
      <c r="G104" s="226">
        <f>G109+G106</f>
        <v>0</v>
      </c>
      <c r="H104" s="226">
        <f>H109+H106</f>
        <v>0</v>
      </c>
      <c r="I104" s="228">
        <v>0</v>
      </c>
      <c r="J104" s="150" t="e">
        <f t="shared" si="5"/>
        <v>#DIV/0!</v>
      </c>
      <c r="K104" s="59"/>
      <c r="L104" s="119" t="e">
        <f t="shared" si="6"/>
        <v>#DIV/0!</v>
      </c>
    </row>
    <row r="105" spans="1:12" s="47" customFormat="1" ht="81" customHeight="1" hidden="1">
      <c r="A105" s="229" t="s">
        <v>369</v>
      </c>
      <c r="B105" s="24" t="s">
        <v>112</v>
      </c>
      <c r="C105" s="24" t="s">
        <v>132</v>
      </c>
      <c r="D105" s="80" t="s">
        <v>24</v>
      </c>
      <c r="E105" s="45" t="s">
        <v>347</v>
      </c>
      <c r="F105" s="216">
        <f>G105+H105</f>
        <v>0</v>
      </c>
      <c r="G105" s="219">
        <f>G106</f>
        <v>0</v>
      </c>
      <c r="H105" s="230"/>
      <c r="I105" s="217">
        <v>0</v>
      </c>
      <c r="J105" s="148" t="e">
        <f t="shared" si="5"/>
        <v>#DIV/0!</v>
      </c>
      <c r="K105" s="59"/>
      <c r="L105" s="119" t="e">
        <f t="shared" si="6"/>
        <v>#DIV/0!</v>
      </c>
    </row>
    <row r="106" spans="1:12" s="4" customFormat="1" ht="67.5" customHeight="1" hidden="1">
      <c r="A106" s="74" t="s">
        <v>362</v>
      </c>
      <c r="B106" s="24" t="s">
        <v>112</v>
      </c>
      <c r="C106" s="24" t="s">
        <v>132</v>
      </c>
      <c r="D106" s="54" t="s">
        <v>90</v>
      </c>
      <c r="E106" s="24" t="s">
        <v>175</v>
      </c>
      <c r="F106" s="216">
        <f t="shared" si="4"/>
        <v>0</v>
      </c>
      <c r="G106" s="209">
        <f>G107</f>
        <v>0</v>
      </c>
      <c r="H106" s="226"/>
      <c r="I106" s="217">
        <v>0</v>
      </c>
      <c r="J106" s="148" t="e">
        <f t="shared" si="5"/>
        <v>#DIV/0!</v>
      </c>
      <c r="K106" s="59"/>
      <c r="L106" s="119" t="e">
        <f t="shared" si="6"/>
        <v>#DIV/0!</v>
      </c>
    </row>
    <row r="107" spans="1:12" s="4" customFormat="1" ht="51" customHeight="1" hidden="1">
      <c r="A107" s="74" t="s">
        <v>174</v>
      </c>
      <c r="B107" s="24" t="s">
        <v>112</v>
      </c>
      <c r="C107" s="24" t="s">
        <v>132</v>
      </c>
      <c r="D107" s="54" t="s">
        <v>90</v>
      </c>
      <c r="E107" s="24" t="s">
        <v>175</v>
      </c>
      <c r="F107" s="216">
        <f t="shared" si="4"/>
        <v>0</v>
      </c>
      <c r="G107" s="209">
        <f>G108</f>
        <v>0</v>
      </c>
      <c r="H107" s="226"/>
      <c r="I107" s="217">
        <v>0</v>
      </c>
      <c r="J107" s="148" t="e">
        <f t="shared" si="5"/>
        <v>#DIV/0!</v>
      </c>
      <c r="K107" s="118">
        <f>K108</f>
        <v>3662.721</v>
      </c>
      <c r="L107" s="119" t="e">
        <f t="shared" si="6"/>
        <v>#DIV/0!</v>
      </c>
    </row>
    <row r="108" spans="1:12" s="4" customFormat="1" ht="19.5" customHeight="1" hidden="1">
      <c r="A108" s="74" t="s">
        <v>361</v>
      </c>
      <c r="B108" s="24" t="s">
        <v>112</v>
      </c>
      <c r="C108" s="24" t="s">
        <v>132</v>
      </c>
      <c r="D108" s="54" t="s">
        <v>90</v>
      </c>
      <c r="E108" s="24" t="s">
        <v>92</v>
      </c>
      <c r="F108" s="216">
        <f t="shared" si="4"/>
        <v>0</v>
      </c>
      <c r="G108" s="209"/>
      <c r="H108" s="226"/>
      <c r="I108" s="217">
        <v>0</v>
      </c>
      <c r="J108" s="148" t="e">
        <f t="shared" si="5"/>
        <v>#DIV/0!</v>
      </c>
      <c r="K108" s="118">
        <f>K109</f>
        <v>3662.721</v>
      </c>
      <c r="L108" s="119" t="e">
        <f t="shared" si="6"/>
        <v>#DIV/0!</v>
      </c>
    </row>
    <row r="109" spans="1:12" s="4" customFormat="1" ht="81" customHeight="1" hidden="1">
      <c r="A109" s="231" t="s">
        <v>98</v>
      </c>
      <c r="B109" s="24" t="s">
        <v>112</v>
      </c>
      <c r="C109" s="24" t="s">
        <v>132</v>
      </c>
      <c r="D109" s="54" t="s">
        <v>398</v>
      </c>
      <c r="E109" s="24" t="s">
        <v>347</v>
      </c>
      <c r="F109" s="216">
        <f t="shared" si="4"/>
        <v>0</v>
      </c>
      <c r="G109" s="209">
        <f>G110</f>
        <v>0</v>
      </c>
      <c r="H109" s="209">
        <f>H110</f>
        <v>0</v>
      </c>
      <c r="I109" s="217">
        <v>0</v>
      </c>
      <c r="J109" s="148" t="e">
        <f t="shared" si="5"/>
        <v>#DIV/0!</v>
      </c>
      <c r="K109" s="123">
        <v>3662.721</v>
      </c>
      <c r="L109" s="119" t="e">
        <f t="shared" si="6"/>
        <v>#DIV/0!</v>
      </c>
    </row>
    <row r="110" spans="1:12" s="4" customFormat="1" ht="51.75" customHeight="1" hidden="1">
      <c r="A110" s="44" t="s">
        <v>174</v>
      </c>
      <c r="B110" s="24" t="s">
        <v>112</v>
      </c>
      <c r="C110" s="24" t="s">
        <v>132</v>
      </c>
      <c r="D110" s="54" t="s">
        <v>398</v>
      </c>
      <c r="E110" s="24" t="s">
        <v>175</v>
      </c>
      <c r="F110" s="216">
        <f t="shared" si="4"/>
        <v>0</v>
      </c>
      <c r="G110" s="209"/>
      <c r="H110" s="209">
        <f>H111</f>
        <v>0</v>
      </c>
      <c r="I110" s="217">
        <v>0</v>
      </c>
      <c r="J110" s="148" t="e">
        <f t="shared" si="5"/>
        <v>#DIV/0!</v>
      </c>
      <c r="K110" s="60">
        <f>K111</f>
        <v>0</v>
      </c>
      <c r="L110" s="119" t="e">
        <f t="shared" si="6"/>
        <v>#DIV/0!</v>
      </c>
    </row>
    <row r="111" spans="1:12" s="4" customFormat="1" ht="17.25" customHeight="1" hidden="1">
      <c r="A111" s="44" t="s">
        <v>361</v>
      </c>
      <c r="B111" s="24" t="s">
        <v>112</v>
      </c>
      <c r="C111" s="24" t="s">
        <v>132</v>
      </c>
      <c r="D111" s="54" t="s">
        <v>398</v>
      </c>
      <c r="E111" s="24" t="s">
        <v>92</v>
      </c>
      <c r="F111" s="216">
        <f t="shared" si="4"/>
        <v>0</v>
      </c>
      <c r="G111" s="209">
        <v>0</v>
      </c>
      <c r="H111" s="209"/>
      <c r="I111" s="217">
        <v>0</v>
      </c>
      <c r="J111" s="148" t="e">
        <f t="shared" si="5"/>
        <v>#DIV/0!</v>
      </c>
      <c r="K111" s="118">
        <f>K112</f>
        <v>0</v>
      </c>
      <c r="L111" s="119" t="e">
        <f t="shared" si="6"/>
        <v>#DIV/0!</v>
      </c>
    </row>
    <row r="112" spans="1:12" s="39" customFormat="1" ht="55.5" customHeight="1">
      <c r="A112" s="270" t="s">
        <v>591</v>
      </c>
      <c r="B112" s="271" t="s">
        <v>112</v>
      </c>
      <c r="C112" s="271" t="s">
        <v>132</v>
      </c>
      <c r="D112" s="300" t="s">
        <v>592</v>
      </c>
      <c r="E112" s="271" t="s">
        <v>347</v>
      </c>
      <c r="F112" s="272">
        <f>G112+H112</f>
        <v>187.287</v>
      </c>
      <c r="G112" s="273"/>
      <c r="H112" s="273">
        <f>H113</f>
        <v>187.287</v>
      </c>
      <c r="I112" s="273">
        <f>I113</f>
        <v>187.287</v>
      </c>
      <c r="J112" s="274">
        <f t="shared" si="5"/>
        <v>100</v>
      </c>
      <c r="K112" s="276">
        <f>SUM(K113:K116)</f>
        <v>0</v>
      </c>
      <c r="L112" s="275">
        <f t="shared" si="6"/>
        <v>100</v>
      </c>
    </row>
    <row r="113" spans="1:12" s="4" customFormat="1" ht="86.25" customHeight="1">
      <c r="A113" s="44" t="s">
        <v>148</v>
      </c>
      <c r="B113" s="24" t="s">
        <v>112</v>
      </c>
      <c r="C113" s="24" t="s">
        <v>132</v>
      </c>
      <c r="D113" s="54" t="s">
        <v>592</v>
      </c>
      <c r="E113" s="24" t="s">
        <v>117</v>
      </c>
      <c r="F113" s="216">
        <f>G113+H113</f>
        <v>187.287</v>
      </c>
      <c r="G113" s="209"/>
      <c r="H113" s="209">
        <f>H114</f>
        <v>187.287</v>
      </c>
      <c r="I113" s="217">
        <f>I114</f>
        <v>187.287</v>
      </c>
      <c r="J113" s="148">
        <f t="shared" si="5"/>
        <v>100</v>
      </c>
      <c r="K113" s="118"/>
      <c r="L113" s="119">
        <f t="shared" si="6"/>
        <v>100</v>
      </c>
    </row>
    <row r="114" spans="1:12" s="43" customFormat="1" ht="36" customHeight="1">
      <c r="A114" s="74" t="s">
        <v>150</v>
      </c>
      <c r="B114" s="24" t="s">
        <v>112</v>
      </c>
      <c r="C114" s="24" t="s">
        <v>132</v>
      </c>
      <c r="D114" s="54" t="s">
        <v>592</v>
      </c>
      <c r="E114" s="24" t="s">
        <v>149</v>
      </c>
      <c r="F114" s="216">
        <f>G114+H114</f>
        <v>187.287</v>
      </c>
      <c r="G114" s="209">
        <v>0</v>
      </c>
      <c r="H114" s="209">
        <v>187.287</v>
      </c>
      <c r="I114" s="217">
        <v>187.287</v>
      </c>
      <c r="J114" s="148">
        <f t="shared" si="5"/>
        <v>100</v>
      </c>
      <c r="K114" s="118"/>
      <c r="L114" s="121">
        <f t="shared" si="6"/>
        <v>100</v>
      </c>
    </row>
    <row r="115" spans="1:12" s="4" customFormat="1" ht="146.25" customHeight="1">
      <c r="A115" s="294" t="s">
        <v>593</v>
      </c>
      <c r="B115" s="271" t="s">
        <v>112</v>
      </c>
      <c r="C115" s="271" t="s">
        <v>132</v>
      </c>
      <c r="D115" s="299" t="s">
        <v>594</v>
      </c>
      <c r="E115" s="271" t="s">
        <v>347</v>
      </c>
      <c r="F115" s="266">
        <v>124.992</v>
      </c>
      <c r="G115" s="267"/>
      <c r="H115" s="267"/>
      <c r="I115" s="266">
        <v>124.992</v>
      </c>
      <c r="J115" s="268">
        <f t="shared" si="5"/>
        <v>100</v>
      </c>
      <c r="K115" s="141"/>
      <c r="L115" s="275">
        <f t="shared" si="6"/>
        <v>100</v>
      </c>
    </row>
    <row r="116" spans="1:12" s="4" customFormat="1" ht="45.75" customHeight="1">
      <c r="A116" s="44" t="s">
        <v>148</v>
      </c>
      <c r="B116" s="24" t="s">
        <v>112</v>
      </c>
      <c r="C116" s="24" t="s">
        <v>132</v>
      </c>
      <c r="D116" s="54" t="s">
        <v>594</v>
      </c>
      <c r="E116" s="24" t="s">
        <v>117</v>
      </c>
      <c r="F116" s="216">
        <v>124.992</v>
      </c>
      <c r="G116" s="209"/>
      <c r="H116" s="209"/>
      <c r="I116" s="216">
        <v>124.992</v>
      </c>
      <c r="J116" s="148">
        <f t="shared" si="5"/>
        <v>100</v>
      </c>
      <c r="K116" s="118"/>
      <c r="L116" s="119">
        <f t="shared" si="6"/>
        <v>100</v>
      </c>
    </row>
    <row r="117" spans="1:12" s="4" customFormat="1" ht="35.25" customHeight="1">
      <c r="A117" s="74" t="s">
        <v>150</v>
      </c>
      <c r="B117" s="24" t="s">
        <v>112</v>
      </c>
      <c r="C117" s="24" t="s">
        <v>132</v>
      </c>
      <c r="D117" s="54" t="s">
        <v>594</v>
      </c>
      <c r="E117" s="24" t="s">
        <v>149</v>
      </c>
      <c r="F117" s="216">
        <v>124.992</v>
      </c>
      <c r="G117" s="209"/>
      <c r="H117" s="209"/>
      <c r="I117" s="216">
        <v>124.992</v>
      </c>
      <c r="J117" s="148">
        <f t="shared" si="5"/>
        <v>100</v>
      </c>
      <c r="K117" s="81">
        <f>K118</f>
        <v>0</v>
      </c>
      <c r="L117" s="119">
        <f t="shared" si="6"/>
        <v>100</v>
      </c>
    </row>
    <row r="118" spans="1:12" s="4" customFormat="1" ht="39" customHeight="1">
      <c r="A118" s="44" t="s">
        <v>115</v>
      </c>
      <c r="B118" s="24" t="s">
        <v>112</v>
      </c>
      <c r="C118" s="24" t="s">
        <v>132</v>
      </c>
      <c r="D118" s="54" t="s">
        <v>7</v>
      </c>
      <c r="E118" s="24" t="s">
        <v>347</v>
      </c>
      <c r="F118" s="216">
        <f>G118+H118</f>
        <v>5584.51201</v>
      </c>
      <c r="G118" s="209">
        <f>G119</f>
        <v>5584.51201</v>
      </c>
      <c r="H118" s="209">
        <f>H119</f>
        <v>0</v>
      </c>
      <c r="I118" s="217">
        <v>5282.48986</v>
      </c>
      <c r="J118" s="148">
        <f t="shared" si="5"/>
        <v>94.59178976678393</v>
      </c>
      <c r="K118" s="117">
        <f>K119</f>
        <v>0</v>
      </c>
      <c r="L118" s="119">
        <f t="shared" si="6"/>
        <v>94.59178976678393</v>
      </c>
    </row>
    <row r="119" spans="1:12" s="47" customFormat="1" ht="15.75" customHeight="1">
      <c r="A119" s="44" t="s">
        <v>116</v>
      </c>
      <c r="B119" s="24" t="s">
        <v>112</v>
      </c>
      <c r="C119" s="24" t="s">
        <v>132</v>
      </c>
      <c r="D119" s="54" t="s">
        <v>8</v>
      </c>
      <c r="E119" s="24" t="s">
        <v>347</v>
      </c>
      <c r="F119" s="216">
        <f>G119+H119</f>
        <v>5584.51201</v>
      </c>
      <c r="G119" s="209">
        <f>G120+G125+G128+G131+G136+G148</f>
        <v>5584.51201</v>
      </c>
      <c r="H119" s="209">
        <f>H120</f>
        <v>0</v>
      </c>
      <c r="I119" s="217">
        <v>5282.48986</v>
      </c>
      <c r="J119" s="148">
        <f t="shared" si="5"/>
        <v>94.59178976678393</v>
      </c>
      <c r="K119" s="118"/>
      <c r="L119" s="121">
        <f t="shared" si="6"/>
        <v>94.59178976678393</v>
      </c>
    </row>
    <row r="120" spans="1:12" s="1" customFormat="1" ht="15.75" customHeight="1">
      <c r="A120" s="270" t="s">
        <v>525</v>
      </c>
      <c r="B120" s="271" t="s">
        <v>112</v>
      </c>
      <c r="C120" s="271" t="s">
        <v>132</v>
      </c>
      <c r="D120" s="300" t="s">
        <v>11</v>
      </c>
      <c r="E120" s="271" t="s">
        <v>347</v>
      </c>
      <c r="F120" s="272">
        <f>G120+H120</f>
        <v>3792.21405</v>
      </c>
      <c r="G120" s="273">
        <f>G121+G123</f>
        <v>3792.21405</v>
      </c>
      <c r="H120" s="273">
        <f>SUM(H121:H124)</f>
        <v>0</v>
      </c>
      <c r="I120" s="273">
        <v>3530.75976</v>
      </c>
      <c r="J120" s="274">
        <f t="shared" si="5"/>
        <v>93.10549756546574</v>
      </c>
      <c r="K120" s="276">
        <f>K122</f>
        <v>0</v>
      </c>
      <c r="L120" s="275">
        <f t="shared" si="6"/>
        <v>93.10549756546574</v>
      </c>
    </row>
    <row r="121" spans="1:12" s="1" customFormat="1" ht="91.5" customHeight="1">
      <c r="A121" s="44" t="s">
        <v>148</v>
      </c>
      <c r="B121" s="24" t="s">
        <v>112</v>
      </c>
      <c r="C121" s="24" t="s">
        <v>132</v>
      </c>
      <c r="D121" s="54" t="s">
        <v>11</v>
      </c>
      <c r="E121" s="24" t="s">
        <v>117</v>
      </c>
      <c r="F121" s="216">
        <f t="shared" si="4"/>
        <v>3629.37905</v>
      </c>
      <c r="G121" s="209">
        <f>G122</f>
        <v>3629.37905</v>
      </c>
      <c r="H121" s="209"/>
      <c r="I121" s="217">
        <f>I122</f>
        <v>3375.26076</v>
      </c>
      <c r="J121" s="148">
        <f t="shared" si="5"/>
        <v>92.99829842793632</v>
      </c>
      <c r="K121" s="118"/>
      <c r="L121" s="119">
        <f t="shared" si="6"/>
        <v>92.99829842793632</v>
      </c>
    </row>
    <row r="122" spans="1:12" s="47" customFormat="1" ht="36" customHeight="1">
      <c r="A122" s="74" t="s">
        <v>150</v>
      </c>
      <c r="B122" s="24" t="s">
        <v>112</v>
      </c>
      <c r="C122" s="24" t="s">
        <v>132</v>
      </c>
      <c r="D122" s="54" t="s">
        <v>11</v>
      </c>
      <c r="E122" s="24" t="s">
        <v>149</v>
      </c>
      <c r="F122" s="216">
        <f t="shared" si="4"/>
        <v>3629.37905</v>
      </c>
      <c r="G122" s="209">
        <f>2799.4+41+845.43-1.64595-30-30-44.805+50</f>
        <v>3629.37905</v>
      </c>
      <c r="H122" s="209"/>
      <c r="I122" s="217">
        <v>3375.26076</v>
      </c>
      <c r="J122" s="148">
        <f t="shared" si="5"/>
        <v>92.99829842793632</v>
      </c>
      <c r="K122" s="118"/>
      <c r="L122" s="121">
        <f t="shared" si="6"/>
        <v>92.99829842793632</v>
      </c>
    </row>
    <row r="123" spans="1:12" s="1" customFormat="1" ht="35.25" customHeight="1">
      <c r="A123" s="44" t="s">
        <v>151</v>
      </c>
      <c r="B123" s="24" t="s">
        <v>112</v>
      </c>
      <c r="C123" s="24" t="s">
        <v>132</v>
      </c>
      <c r="D123" s="54" t="s">
        <v>11</v>
      </c>
      <c r="E123" s="24" t="s">
        <v>121</v>
      </c>
      <c r="F123" s="216">
        <f t="shared" si="4"/>
        <v>162.835</v>
      </c>
      <c r="G123" s="209">
        <f>G124</f>
        <v>162.835</v>
      </c>
      <c r="H123" s="209"/>
      <c r="I123" s="217">
        <f>I124</f>
        <v>155.499</v>
      </c>
      <c r="J123" s="148">
        <f t="shared" si="5"/>
        <v>95.49482605091042</v>
      </c>
      <c r="K123" s="120"/>
      <c r="L123" s="119">
        <f t="shared" si="6"/>
        <v>95.49482605091042</v>
      </c>
    </row>
    <row r="124" spans="1:12" s="1" customFormat="1" ht="36.75" customHeight="1">
      <c r="A124" s="74" t="s">
        <v>152</v>
      </c>
      <c r="B124" s="24" t="s">
        <v>112</v>
      </c>
      <c r="C124" s="24" t="s">
        <v>132</v>
      </c>
      <c r="D124" s="54" t="s">
        <v>11</v>
      </c>
      <c r="E124" s="24" t="s">
        <v>153</v>
      </c>
      <c r="F124" s="216">
        <f>G124+H124</f>
        <v>162.835</v>
      </c>
      <c r="G124" s="209">
        <f>178.03-60+44.805</f>
        <v>162.835</v>
      </c>
      <c r="H124" s="209"/>
      <c r="I124" s="217">
        <v>155.499</v>
      </c>
      <c r="J124" s="148">
        <f t="shared" si="5"/>
        <v>95.49482605091042</v>
      </c>
      <c r="K124" s="118"/>
      <c r="L124" s="119">
        <f t="shared" si="6"/>
        <v>95.49482605091042</v>
      </c>
    </row>
    <row r="125" spans="1:12" s="1" customFormat="1" ht="16.5" customHeight="1">
      <c r="A125" s="51" t="s">
        <v>160</v>
      </c>
      <c r="B125" s="45" t="s">
        <v>112</v>
      </c>
      <c r="C125" s="45" t="s">
        <v>132</v>
      </c>
      <c r="D125" s="80" t="s">
        <v>17</v>
      </c>
      <c r="E125" s="45" t="s">
        <v>347</v>
      </c>
      <c r="F125" s="218">
        <f>G125+H125</f>
        <v>18.397959999999998</v>
      </c>
      <c r="G125" s="219">
        <f aca="true" t="shared" si="7" ref="G125:I126">G126</f>
        <v>18.397959999999998</v>
      </c>
      <c r="H125" s="219">
        <f t="shared" si="7"/>
        <v>0</v>
      </c>
      <c r="I125" s="220">
        <f t="shared" si="7"/>
        <v>7.09796</v>
      </c>
      <c r="J125" s="149">
        <f t="shared" si="5"/>
        <v>38.580146929333466</v>
      </c>
      <c r="K125" s="163"/>
      <c r="L125" s="121">
        <f t="shared" si="6"/>
        <v>38.580146929333466</v>
      </c>
    </row>
    <row r="126" spans="1:12" s="1" customFormat="1" ht="29.25" customHeight="1">
      <c r="A126" s="44" t="s">
        <v>156</v>
      </c>
      <c r="B126" s="24" t="s">
        <v>112</v>
      </c>
      <c r="C126" s="24" t="s">
        <v>132</v>
      </c>
      <c r="D126" s="54" t="s">
        <v>17</v>
      </c>
      <c r="E126" s="24" t="s">
        <v>157</v>
      </c>
      <c r="F126" s="216">
        <f>G126+H126</f>
        <v>18.397959999999998</v>
      </c>
      <c r="G126" s="209">
        <f t="shared" si="7"/>
        <v>18.397959999999998</v>
      </c>
      <c r="H126" s="209">
        <f t="shared" si="7"/>
        <v>0</v>
      </c>
      <c r="I126" s="217">
        <f t="shared" si="7"/>
        <v>7.09796</v>
      </c>
      <c r="J126" s="148">
        <f t="shared" si="5"/>
        <v>38.580146929333466</v>
      </c>
      <c r="K126" s="118"/>
      <c r="L126" s="119">
        <f t="shared" si="6"/>
        <v>38.580146929333466</v>
      </c>
    </row>
    <row r="127" spans="1:12" s="1" customFormat="1" ht="35.25" customHeight="1">
      <c r="A127" s="44" t="s">
        <v>160</v>
      </c>
      <c r="B127" s="24" t="s">
        <v>112</v>
      </c>
      <c r="C127" s="24" t="s">
        <v>132</v>
      </c>
      <c r="D127" s="54" t="s">
        <v>17</v>
      </c>
      <c r="E127" s="24" t="s">
        <v>161</v>
      </c>
      <c r="F127" s="216">
        <f>G127+H127</f>
        <v>18.397959999999998</v>
      </c>
      <c r="G127" s="209">
        <f>2+2+1.45201+50+1.64595-38.7</f>
        <v>18.397959999999998</v>
      </c>
      <c r="H127" s="209"/>
      <c r="I127" s="217">
        <v>7.09796</v>
      </c>
      <c r="J127" s="148">
        <f t="shared" si="5"/>
        <v>38.580146929333466</v>
      </c>
      <c r="K127" s="118"/>
      <c r="L127" s="119">
        <f t="shared" si="6"/>
        <v>38.580146929333466</v>
      </c>
    </row>
    <row r="128" spans="1:12" s="1" customFormat="1" ht="21.75" customHeight="1" hidden="1">
      <c r="A128" s="51" t="s">
        <v>306</v>
      </c>
      <c r="B128" s="45" t="s">
        <v>112</v>
      </c>
      <c r="C128" s="45" t="s">
        <v>132</v>
      </c>
      <c r="D128" s="80" t="s">
        <v>18</v>
      </c>
      <c r="E128" s="45" t="s">
        <v>347</v>
      </c>
      <c r="F128" s="218">
        <f t="shared" si="4"/>
        <v>292</v>
      </c>
      <c r="G128" s="219">
        <f>G129</f>
        <v>292</v>
      </c>
      <c r="H128" s="219">
        <f>H130</f>
        <v>0</v>
      </c>
      <c r="I128" s="220">
        <f>I129</f>
        <v>280</v>
      </c>
      <c r="J128" s="149">
        <f t="shared" si="5"/>
        <v>95.8904109589041</v>
      </c>
      <c r="K128" s="127">
        <f>K132</f>
        <v>0</v>
      </c>
      <c r="L128" s="119">
        <f t="shared" si="6"/>
        <v>95.8904109589041</v>
      </c>
    </row>
    <row r="129" spans="1:12" s="1" customFormat="1" ht="21" customHeight="1" hidden="1">
      <c r="A129" s="44" t="s">
        <v>151</v>
      </c>
      <c r="B129" s="24" t="s">
        <v>112</v>
      </c>
      <c r="C129" s="24" t="s">
        <v>132</v>
      </c>
      <c r="D129" s="54" t="s">
        <v>18</v>
      </c>
      <c r="E129" s="24" t="s">
        <v>121</v>
      </c>
      <c r="F129" s="216">
        <f t="shared" si="4"/>
        <v>292</v>
      </c>
      <c r="G129" s="209">
        <f>G130</f>
        <v>292</v>
      </c>
      <c r="H129" s="209"/>
      <c r="I129" s="217">
        <f>I130</f>
        <v>280</v>
      </c>
      <c r="J129" s="148">
        <f t="shared" si="5"/>
        <v>95.8904109589041</v>
      </c>
      <c r="K129" s="129"/>
      <c r="L129" s="119">
        <f t="shared" si="6"/>
        <v>95.8904109589041</v>
      </c>
    </row>
    <row r="130" spans="1:12" s="30" customFormat="1" ht="18" customHeight="1">
      <c r="A130" s="74" t="s">
        <v>152</v>
      </c>
      <c r="B130" s="24" t="s">
        <v>112</v>
      </c>
      <c r="C130" s="24" t="s">
        <v>132</v>
      </c>
      <c r="D130" s="54" t="s">
        <v>18</v>
      </c>
      <c r="E130" s="24" t="s">
        <v>153</v>
      </c>
      <c r="F130" s="216">
        <f t="shared" si="4"/>
        <v>292</v>
      </c>
      <c r="G130" s="209">
        <f>280+12</f>
        <v>292</v>
      </c>
      <c r="H130" s="209"/>
      <c r="I130" s="217">
        <v>280</v>
      </c>
      <c r="J130" s="148">
        <f t="shared" si="5"/>
        <v>95.8904109589041</v>
      </c>
      <c r="K130" s="118"/>
      <c r="L130" s="121">
        <f t="shared" si="6"/>
        <v>95.8904109589041</v>
      </c>
    </row>
    <row r="131" spans="1:12" s="30" customFormat="1" ht="26.25" customHeight="1">
      <c r="A131" s="62" t="s">
        <v>441</v>
      </c>
      <c r="B131" s="45" t="s">
        <v>112</v>
      </c>
      <c r="C131" s="45" t="s">
        <v>132</v>
      </c>
      <c r="D131" s="80" t="s">
        <v>442</v>
      </c>
      <c r="E131" s="45" t="s">
        <v>347</v>
      </c>
      <c r="F131" s="218">
        <f aca="true" t="shared" si="8" ref="F131:F140">G131</f>
        <v>1433.9</v>
      </c>
      <c r="G131" s="219">
        <f>G132+G134</f>
        <v>1433.9</v>
      </c>
      <c r="H131" s="219"/>
      <c r="I131" s="220">
        <f>I132</f>
        <v>1416.63214</v>
      </c>
      <c r="J131" s="149">
        <f t="shared" si="5"/>
        <v>98.79574168352046</v>
      </c>
      <c r="K131" s="118"/>
      <c r="L131" s="119">
        <f t="shared" si="6"/>
        <v>98.79574168352046</v>
      </c>
    </row>
    <row r="132" spans="1:12" s="1" customFormat="1" ht="48.75" customHeight="1">
      <c r="A132" s="44" t="s">
        <v>151</v>
      </c>
      <c r="B132" s="24" t="s">
        <v>112</v>
      </c>
      <c r="C132" s="24" t="s">
        <v>132</v>
      </c>
      <c r="D132" s="54" t="s">
        <v>442</v>
      </c>
      <c r="E132" s="24" t="s">
        <v>121</v>
      </c>
      <c r="F132" s="216">
        <f t="shared" si="8"/>
        <v>1433.9</v>
      </c>
      <c r="G132" s="209">
        <f>G133</f>
        <v>1433.9</v>
      </c>
      <c r="H132" s="209"/>
      <c r="I132" s="217">
        <f>I133</f>
        <v>1416.63214</v>
      </c>
      <c r="J132" s="148">
        <f t="shared" si="5"/>
        <v>98.79574168352046</v>
      </c>
      <c r="K132" s="117">
        <f>K134</f>
        <v>0</v>
      </c>
      <c r="L132" s="119">
        <f t="shared" si="6"/>
        <v>98.79574168352046</v>
      </c>
    </row>
    <row r="133" spans="1:12" s="1" customFormat="1" ht="21" customHeight="1">
      <c r="A133" s="74" t="s">
        <v>152</v>
      </c>
      <c r="B133" s="24" t="s">
        <v>112</v>
      </c>
      <c r="C133" s="24" t="s">
        <v>132</v>
      </c>
      <c r="D133" s="54" t="s">
        <v>442</v>
      </c>
      <c r="E133" s="24" t="s">
        <v>153</v>
      </c>
      <c r="F133" s="216">
        <f t="shared" si="8"/>
        <v>1433.9</v>
      </c>
      <c r="G133" s="209">
        <f>1275.2+38.7+120</f>
        <v>1433.9</v>
      </c>
      <c r="H133" s="209"/>
      <c r="I133" s="217">
        <v>1416.63214</v>
      </c>
      <c r="J133" s="148">
        <f t="shared" si="5"/>
        <v>98.79574168352046</v>
      </c>
      <c r="K133" s="118"/>
      <c r="L133" s="119">
        <f t="shared" si="6"/>
        <v>98.79574168352046</v>
      </c>
    </row>
    <row r="134" spans="1:12" s="1" customFormat="1" ht="15.75" customHeight="1" hidden="1">
      <c r="A134" s="44" t="s">
        <v>156</v>
      </c>
      <c r="B134" s="24" t="s">
        <v>112</v>
      </c>
      <c r="C134" s="24" t="s">
        <v>132</v>
      </c>
      <c r="D134" s="54" t="s">
        <v>442</v>
      </c>
      <c r="E134" s="24" t="s">
        <v>157</v>
      </c>
      <c r="F134" s="216">
        <f t="shared" si="8"/>
        <v>0</v>
      </c>
      <c r="G134" s="209">
        <f>G135</f>
        <v>0</v>
      </c>
      <c r="H134" s="209"/>
      <c r="I134" s="217">
        <v>0</v>
      </c>
      <c r="J134" s="148" t="e">
        <f t="shared" si="5"/>
        <v>#DIV/0!</v>
      </c>
      <c r="K134" s="118"/>
      <c r="L134" s="119" t="e">
        <f t="shared" si="6"/>
        <v>#DIV/0!</v>
      </c>
    </row>
    <row r="135" spans="1:12" s="1" customFormat="1" ht="65.25" customHeight="1" hidden="1">
      <c r="A135" s="221" t="s">
        <v>154</v>
      </c>
      <c r="B135" s="24" t="s">
        <v>112</v>
      </c>
      <c r="C135" s="24" t="s">
        <v>132</v>
      </c>
      <c r="D135" s="54" t="s">
        <v>442</v>
      </c>
      <c r="E135" s="24" t="s">
        <v>155</v>
      </c>
      <c r="F135" s="216">
        <f t="shared" si="8"/>
        <v>0</v>
      </c>
      <c r="G135" s="209"/>
      <c r="H135" s="209"/>
      <c r="I135" s="217">
        <v>0</v>
      </c>
      <c r="J135" s="148" t="e">
        <f t="shared" si="5"/>
        <v>#DIV/0!</v>
      </c>
      <c r="K135" s="127">
        <f>K137</f>
        <v>0</v>
      </c>
      <c r="L135" s="119" t="e">
        <f t="shared" si="6"/>
        <v>#DIV/0!</v>
      </c>
    </row>
    <row r="136" spans="1:12" s="1" customFormat="1" ht="38.25" customHeight="1" hidden="1">
      <c r="A136" s="232" t="s">
        <v>463</v>
      </c>
      <c r="B136" s="45" t="s">
        <v>112</v>
      </c>
      <c r="C136" s="45" t="s">
        <v>132</v>
      </c>
      <c r="D136" s="80" t="s">
        <v>464</v>
      </c>
      <c r="E136" s="45" t="s">
        <v>347</v>
      </c>
      <c r="F136" s="218">
        <f t="shared" si="8"/>
        <v>0</v>
      </c>
      <c r="G136" s="219">
        <f>G138+G139</f>
        <v>0</v>
      </c>
      <c r="H136" s="219"/>
      <c r="I136" s="217">
        <v>0</v>
      </c>
      <c r="J136" s="148" t="e">
        <f t="shared" si="5"/>
        <v>#DIV/0!</v>
      </c>
      <c r="K136" s="118"/>
      <c r="L136" s="119" t="e">
        <f t="shared" si="6"/>
        <v>#DIV/0!</v>
      </c>
    </row>
    <row r="137" spans="1:12" s="1" customFormat="1" ht="45.75" customHeight="1" hidden="1">
      <c r="A137" s="44" t="s">
        <v>151</v>
      </c>
      <c r="B137" s="24" t="s">
        <v>112</v>
      </c>
      <c r="C137" s="24" t="s">
        <v>132</v>
      </c>
      <c r="D137" s="54" t="s">
        <v>464</v>
      </c>
      <c r="E137" s="24" t="s">
        <v>121</v>
      </c>
      <c r="F137" s="216">
        <f t="shared" si="8"/>
        <v>0</v>
      </c>
      <c r="G137" s="209">
        <f>G138</f>
        <v>0</v>
      </c>
      <c r="H137" s="219"/>
      <c r="I137" s="217">
        <v>0</v>
      </c>
      <c r="J137" s="148" t="e">
        <f t="shared" si="5"/>
        <v>#DIV/0!</v>
      </c>
      <c r="K137" s="118"/>
      <c r="L137" s="119" t="e">
        <f t="shared" si="6"/>
        <v>#DIV/0!</v>
      </c>
    </row>
    <row r="138" spans="1:12" s="1" customFormat="1" ht="91.5" customHeight="1" hidden="1">
      <c r="A138" s="74" t="s">
        <v>152</v>
      </c>
      <c r="B138" s="24" t="s">
        <v>112</v>
      </c>
      <c r="C138" s="24" t="s">
        <v>132</v>
      </c>
      <c r="D138" s="54" t="s">
        <v>464</v>
      </c>
      <c r="E138" s="24" t="s">
        <v>153</v>
      </c>
      <c r="F138" s="216">
        <f t="shared" si="8"/>
        <v>0</v>
      </c>
      <c r="G138" s="209"/>
      <c r="H138" s="209"/>
      <c r="I138" s="217">
        <v>0</v>
      </c>
      <c r="J138" s="148" t="e">
        <f t="shared" si="5"/>
        <v>#DIV/0!</v>
      </c>
      <c r="K138" s="127">
        <f>K139</f>
        <v>0</v>
      </c>
      <c r="L138" s="119" t="e">
        <f t="shared" si="6"/>
        <v>#DIV/0!</v>
      </c>
    </row>
    <row r="139" spans="1:12" s="1" customFormat="1" ht="32.25" customHeight="1" hidden="1">
      <c r="A139" s="44" t="s">
        <v>156</v>
      </c>
      <c r="B139" s="24" t="s">
        <v>112</v>
      </c>
      <c r="C139" s="24" t="s">
        <v>132</v>
      </c>
      <c r="D139" s="54" t="s">
        <v>464</v>
      </c>
      <c r="E139" s="24" t="s">
        <v>157</v>
      </c>
      <c r="F139" s="216">
        <f t="shared" si="8"/>
        <v>0</v>
      </c>
      <c r="G139" s="209">
        <f>G140</f>
        <v>0</v>
      </c>
      <c r="H139" s="209"/>
      <c r="I139" s="217">
        <v>0</v>
      </c>
      <c r="J139" s="148" t="e">
        <f t="shared" si="5"/>
        <v>#DIV/0!</v>
      </c>
      <c r="K139" s="117">
        <f>K140</f>
        <v>0</v>
      </c>
      <c r="L139" s="119" t="e">
        <f>I139/F139*100</f>
        <v>#DIV/0!</v>
      </c>
    </row>
    <row r="140" spans="1:12" s="1" customFormat="1" ht="37.5" customHeight="1" hidden="1">
      <c r="A140" s="221" t="s">
        <v>154</v>
      </c>
      <c r="B140" s="24" t="s">
        <v>112</v>
      </c>
      <c r="C140" s="24" t="s">
        <v>132</v>
      </c>
      <c r="D140" s="54" t="s">
        <v>464</v>
      </c>
      <c r="E140" s="24" t="s">
        <v>155</v>
      </c>
      <c r="F140" s="216">
        <f t="shared" si="8"/>
        <v>0</v>
      </c>
      <c r="G140" s="209"/>
      <c r="H140" s="209"/>
      <c r="I140" s="217">
        <v>0</v>
      </c>
      <c r="J140" s="148" t="e">
        <f t="shared" si="5"/>
        <v>#DIV/0!</v>
      </c>
      <c r="K140" s="118"/>
      <c r="L140" s="119" t="e">
        <f t="shared" si="6"/>
        <v>#DIV/0!</v>
      </c>
    </row>
    <row r="141" spans="1:12" s="1" customFormat="1" ht="49.5" customHeight="1">
      <c r="A141" s="233" t="s">
        <v>524</v>
      </c>
      <c r="B141" s="101" t="s">
        <v>112</v>
      </c>
      <c r="C141" s="101" t="s">
        <v>132</v>
      </c>
      <c r="D141" s="108" t="s">
        <v>262</v>
      </c>
      <c r="E141" s="101" t="s">
        <v>347</v>
      </c>
      <c r="F141" s="234">
        <f>G141+H141</f>
        <v>899.07583</v>
      </c>
      <c r="G141" s="230">
        <v>0</v>
      </c>
      <c r="H141" s="230">
        <f>H142</f>
        <v>899.07583</v>
      </c>
      <c r="I141" s="235">
        <f>I142</f>
        <v>794.62146</v>
      </c>
      <c r="J141" s="151">
        <f t="shared" si="5"/>
        <v>88.38202891073158</v>
      </c>
      <c r="K141" s="131">
        <f>K142</f>
        <v>1519.9199999999998</v>
      </c>
      <c r="L141" s="119">
        <f t="shared" si="6"/>
        <v>88.38202891073158</v>
      </c>
    </row>
    <row r="142" spans="1:12" s="30" customFormat="1" ht="50.25" customHeight="1">
      <c r="A142" s="44" t="s">
        <v>431</v>
      </c>
      <c r="B142" s="24" t="s">
        <v>112</v>
      </c>
      <c r="C142" s="24" t="s">
        <v>132</v>
      </c>
      <c r="D142" s="54" t="s">
        <v>7</v>
      </c>
      <c r="E142" s="24" t="s">
        <v>347</v>
      </c>
      <c r="F142" s="216">
        <f aca="true" t="shared" si="9" ref="F142:F150">G142+H142</f>
        <v>899.07583</v>
      </c>
      <c r="G142" s="209"/>
      <c r="H142" s="209">
        <f>H143</f>
        <v>899.07583</v>
      </c>
      <c r="I142" s="217">
        <f>I143</f>
        <v>794.62146</v>
      </c>
      <c r="J142" s="148">
        <f t="shared" si="5"/>
        <v>88.38202891073158</v>
      </c>
      <c r="K142" s="117">
        <f>K143</f>
        <v>1519.9199999999998</v>
      </c>
      <c r="L142" s="121">
        <f t="shared" si="6"/>
        <v>88.38202891073158</v>
      </c>
    </row>
    <row r="143" spans="1:12" s="42" customFormat="1" ht="35.25" customHeight="1" hidden="1">
      <c r="A143" s="44" t="s">
        <v>116</v>
      </c>
      <c r="B143" s="24" t="s">
        <v>112</v>
      </c>
      <c r="C143" s="24" t="s">
        <v>132</v>
      </c>
      <c r="D143" s="54" t="s">
        <v>8</v>
      </c>
      <c r="E143" s="24" t="s">
        <v>347</v>
      </c>
      <c r="F143" s="216">
        <f t="shared" si="9"/>
        <v>899.07583</v>
      </c>
      <c r="G143" s="209"/>
      <c r="H143" s="209">
        <f>H144+H146</f>
        <v>899.07583</v>
      </c>
      <c r="I143" s="217">
        <v>794.62146</v>
      </c>
      <c r="J143" s="148">
        <f t="shared" si="5"/>
        <v>88.38202891073158</v>
      </c>
      <c r="K143" s="117">
        <f>K144</f>
        <v>1519.9199999999998</v>
      </c>
      <c r="L143" s="119">
        <f aca="true" t="shared" si="10" ref="L143:L206">I143/F143*100</f>
        <v>88.38202891073158</v>
      </c>
    </row>
    <row r="144" spans="1:12" s="9" customFormat="1" ht="39" customHeight="1" hidden="1">
      <c r="A144" s="44" t="s">
        <v>148</v>
      </c>
      <c r="B144" s="24" t="s">
        <v>112</v>
      </c>
      <c r="C144" s="24" t="s">
        <v>132</v>
      </c>
      <c r="D144" s="54" t="s">
        <v>523</v>
      </c>
      <c r="E144" s="24" t="s">
        <v>117</v>
      </c>
      <c r="F144" s="216">
        <f t="shared" si="9"/>
        <v>532.3799</v>
      </c>
      <c r="G144" s="209">
        <v>0</v>
      </c>
      <c r="H144" s="209">
        <f>H145</f>
        <v>532.3799</v>
      </c>
      <c r="I144" s="217">
        <f>I145</f>
        <v>502.6358</v>
      </c>
      <c r="J144" s="148">
        <f aca="true" t="shared" si="11" ref="J144:J207">I144/F144*100</f>
        <v>94.41299342818915</v>
      </c>
      <c r="K144" s="117">
        <f>K145</f>
        <v>1519.9199999999998</v>
      </c>
      <c r="L144" s="119">
        <f t="shared" si="10"/>
        <v>94.41299342818915</v>
      </c>
    </row>
    <row r="145" spans="1:12" s="9" customFormat="1" ht="47.25" customHeight="1" hidden="1">
      <c r="A145" s="44" t="s">
        <v>150</v>
      </c>
      <c r="B145" s="24" t="s">
        <v>112</v>
      </c>
      <c r="C145" s="24" t="s">
        <v>132</v>
      </c>
      <c r="D145" s="54" t="s">
        <v>523</v>
      </c>
      <c r="E145" s="24" t="s">
        <v>149</v>
      </c>
      <c r="F145" s="216">
        <f t="shared" si="9"/>
        <v>532.3799</v>
      </c>
      <c r="G145" s="209"/>
      <c r="H145" s="209">
        <f>312.4799+219.9</f>
        <v>532.3799</v>
      </c>
      <c r="I145" s="217">
        <v>502.6358</v>
      </c>
      <c r="J145" s="148">
        <f t="shared" si="11"/>
        <v>94.41299342818915</v>
      </c>
      <c r="K145" s="123">
        <f>1404.6+115.32</f>
        <v>1519.9199999999998</v>
      </c>
      <c r="L145" s="119">
        <f t="shared" si="10"/>
        <v>94.41299342818915</v>
      </c>
    </row>
    <row r="146" spans="1:12" s="53" customFormat="1" ht="36" customHeight="1">
      <c r="A146" s="44" t="s">
        <v>151</v>
      </c>
      <c r="B146" s="24" t="s">
        <v>112</v>
      </c>
      <c r="C146" s="24" t="s">
        <v>132</v>
      </c>
      <c r="D146" s="54" t="s">
        <v>523</v>
      </c>
      <c r="E146" s="24" t="s">
        <v>121</v>
      </c>
      <c r="F146" s="216">
        <f t="shared" si="9"/>
        <v>366.69593</v>
      </c>
      <c r="G146" s="209">
        <v>0</v>
      </c>
      <c r="H146" s="209">
        <f>H147</f>
        <v>366.69593</v>
      </c>
      <c r="I146" s="217">
        <f>I147</f>
        <v>291.98566</v>
      </c>
      <c r="J146" s="148">
        <f t="shared" si="11"/>
        <v>79.62609784079142</v>
      </c>
      <c r="K146" s="130">
        <f>K147</f>
        <v>0</v>
      </c>
      <c r="L146" s="119">
        <f t="shared" si="10"/>
        <v>79.62609784079142</v>
      </c>
    </row>
    <row r="147" spans="1:12" s="10" customFormat="1" ht="34.5" customHeight="1">
      <c r="A147" s="74" t="s">
        <v>152</v>
      </c>
      <c r="B147" s="24" t="s">
        <v>112</v>
      </c>
      <c r="C147" s="24" t="s">
        <v>132</v>
      </c>
      <c r="D147" s="54" t="s">
        <v>523</v>
      </c>
      <c r="E147" s="24" t="s">
        <v>153</v>
      </c>
      <c r="F147" s="216">
        <f t="shared" si="9"/>
        <v>366.69593</v>
      </c>
      <c r="G147" s="209"/>
      <c r="H147" s="209">
        <f>47.685+300+7.14616-128.39895-219.9+365.45389-5.29017</f>
        <v>366.69593</v>
      </c>
      <c r="I147" s="217">
        <v>291.98566</v>
      </c>
      <c r="J147" s="148">
        <f t="shared" si="11"/>
        <v>79.62609784079142</v>
      </c>
      <c r="K147" s="118">
        <f>K148</f>
        <v>0</v>
      </c>
      <c r="L147" s="119">
        <f t="shared" si="10"/>
        <v>79.62609784079142</v>
      </c>
    </row>
    <row r="148" spans="1:12" s="10" customFormat="1" ht="40.5" customHeight="1">
      <c r="A148" s="62" t="s">
        <v>595</v>
      </c>
      <c r="B148" s="45" t="s">
        <v>112</v>
      </c>
      <c r="C148" s="45" t="s">
        <v>132</v>
      </c>
      <c r="D148" s="80" t="s">
        <v>596</v>
      </c>
      <c r="E148" s="45" t="s">
        <v>347</v>
      </c>
      <c r="F148" s="218">
        <f t="shared" si="9"/>
        <v>48</v>
      </c>
      <c r="G148" s="219">
        <f>G149</f>
        <v>48</v>
      </c>
      <c r="H148" s="219"/>
      <c r="I148" s="220">
        <v>48</v>
      </c>
      <c r="J148" s="149">
        <f t="shared" si="11"/>
        <v>100</v>
      </c>
      <c r="K148" s="118">
        <f>K150</f>
        <v>0</v>
      </c>
      <c r="L148" s="119">
        <f t="shared" si="10"/>
        <v>100</v>
      </c>
    </row>
    <row r="149" spans="1:12" s="30" customFormat="1" ht="33" customHeight="1">
      <c r="A149" s="44" t="s">
        <v>151</v>
      </c>
      <c r="B149" s="24" t="s">
        <v>112</v>
      </c>
      <c r="C149" s="24" t="s">
        <v>132</v>
      </c>
      <c r="D149" s="54" t="s">
        <v>596</v>
      </c>
      <c r="E149" s="24" t="s">
        <v>121</v>
      </c>
      <c r="F149" s="216">
        <f t="shared" si="9"/>
        <v>48</v>
      </c>
      <c r="G149" s="209">
        <f>G150</f>
        <v>48</v>
      </c>
      <c r="H149" s="209"/>
      <c r="I149" s="217">
        <v>48</v>
      </c>
      <c r="J149" s="148">
        <f t="shared" si="11"/>
        <v>100</v>
      </c>
      <c r="K149" s="118"/>
      <c r="L149" s="121">
        <f t="shared" si="10"/>
        <v>100</v>
      </c>
    </row>
    <row r="150" spans="1:12" s="10" customFormat="1" ht="35.25" customHeight="1">
      <c r="A150" s="74" t="s">
        <v>152</v>
      </c>
      <c r="B150" s="24" t="s">
        <v>112</v>
      </c>
      <c r="C150" s="24" t="s">
        <v>132</v>
      </c>
      <c r="D150" s="54" t="s">
        <v>596</v>
      </c>
      <c r="E150" s="24" t="s">
        <v>153</v>
      </c>
      <c r="F150" s="216">
        <f t="shared" si="9"/>
        <v>48</v>
      </c>
      <c r="G150" s="209">
        <v>48</v>
      </c>
      <c r="H150" s="209"/>
      <c r="I150" s="217">
        <v>48</v>
      </c>
      <c r="J150" s="148">
        <f t="shared" si="11"/>
        <v>100</v>
      </c>
      <c r="K150" s="118"/>
      <c r="L150" s="119">
        <f t="shared" si="10"/>
        <v>100</v>
      </c>
    </row>
    <row r="151" spans="1:12" s="10" customFormat="1" ht="50.25" customHeight="1">
      <c r="A151" s="51" t="s">
        <v>407</v>
      </c>
      <c r="B151" s="45" t="s">
        <v>112</v>
      </c>
      <c r="C151" s="45" t="s">
        <v>132</v>
      </c>
      <c r="D151" s="80" t="s">
        <v>25</v>
      </c>
      <c r="E151" s="45" t="s">
        <v>347</v>
      </c>
      <c r="F151" s="218">
        <f>F155+F165+F166</f>
        <v>7432.83168</v>
      </c>
      <c r="G151" s="218">
        <f>G155+G165+G166</f>
        <v>502.83168</v>
      </c>
      <c r="H151" s="218">
        <f>H155+H165+H166</f>
        <v>6930</v>
      </c>
      <c r="I151" s="218">
        <f>I155+I165+I166</f>
        <v>477.94077</v>
      </c>
      <c r="J151" s="148">
        <f t="shared" si="11"/>
        <v>6.430130407581085</v>
      </c>
      <c r="K151" s="130">
        <f>K156+K162+K152+K181</f>
        <v>26.68702</v>
      </c>
      <c r="L151" s="119">
        <f t="shared" si="10"/>
        <v>6.430130407581085</v>
      </c>
    </row>
    <row r="152" spans="1:12" s="87" customFormat="1" ht="48.75" customHeight="1" hidden="1">
      <c r="A152" s="52" t="s">
        <v>27</v>
      </c>
      <c r="B152" s="24" t="s">
        <v>112</v>
      </c>
      <c r="C152" s="24" t="s">
        <v>132</v>
      </c>
      <c r="D152" s="32" t="s">
        <v>26</v>
      </c>
      <c r="E152" s="24" t="s">
        <v>347</v>
      </c>
      <c r="F152" s="216">
        <f t="shared" si="4"/>
        <v>0</v>
      </c>
      <c r="G152" s="209">
        <f>G153</f>
        <v>0</v>
      </c>
      <c r="H152" s="236"/>
      <c r="I152" s="217">
        <v>0</v>
      </c>
      <c r="J152" s="148" t="e">
        <f t="shared" si="11"/>
        <v>#DIV/0!</v>
      </c>
      <c r="K152" s="120">
        <f>K153</f>
        <v>26.68702</v>
      </c>
      <c r="L152" s="119" t="e">
        <f t="shared" si="10"/>
        <v>#DIV/0!</v>
      </c>
    </row>
    <row r="153" spans="1:12" s="88" customFormat="1" ht="34.5" customHeight="1" hidden="1">
      <c r="A153" s="44" t="s">
        <v>151</v>
      </c>
      <c r="B153" s="24" t="s">
        <v>112</v>
      </c>
      <c r="C153" s="24" t="s">
        <v>132</v>
      </c>
      <c r="D153" s="32" t="s">
        <v>28</v>
      </c>
      <c r="E153" s="24" t="s">
        <v>121</v>
      </c>
      <c r="F153" s="216">
        <f t="shared" si="4"/>
        <v>0</v>
      </c>
      <c r="G153" s="209">
        <f>G154</f>
        <v>0</v>
      </c>
      <c r="H153" s="209"/>
      <c r="I153" s="217">
        <v>0</v>
      </c>
      <c r="J153" s="148" t="e">
        <f t="shared" si="11"/>
        <v>#DIV/0!</v>
      </c>
      <c r="K153" s="118">
        <f>K154</f>
        <v>26.68702</v>
      </c>
      <c r="L153" s="119" t="e">
        <f t="shared" si="10"/>
        <v>#DIV/0!</v>
      </c>
    </row>
    <row r="154" spans="1:12" s="88" customFormat="1" ht="49.5" customHeight="1" hidden="1">
      <c r="A154" s="74" t="s">
        <v>152</v>
      </c>
      <c r="B154" s="24" t="s">
        <v>112</v>
      </c>
      <c r="C154" s="24" t="s">
        <v>132</v>
      </c>
      <c r="D154" s="32" t="s">
        <v>29</v>
      </c>
      <c r="E154" s="24" t="s">
        <v>153</v>
      </c>
      <c r="F154" s="216">
        <v>111</v>
      </c>
      <c r="G154" s="209"/>
      <c r="H154" s="209"/>
      <c r="I154" s="217">
        <v>111</v>
      </c>
      <c r="J154" s="148">
        <f t="shared" si="11"/>
        <v>100</v>
      </c>
      <c r="K154" s="118">
        <f>K155</f>
        <v>26.68702</v>
      </c>
      <c r="L154" s="119">
        <f t="shared" si="10"/>
        <v>100</v>
      </c>
    </row>
    <row r="155" spans="1:12" s="88" customFormat="1" ht="35.25" customHeight="1">
      <c r="A155" s="237" t="s">
        <v>244</v>
      </c>
      <c r="B155" s="24" t="s">
        <v>112</v>
      </c>
      <c r="C155" s="24" t="s">
        <v>132</v>
      </c>
      <c r="D155" s="32" t="s">
        <v>43</v>
      </c>
      <c r="E155" s="24" t="s">
        <v>347</v>
      </c>
      <c r="F155" s="216">
        <f>F157+F160</f>
        <v>6954.83168</v>
      </c>
      <c r="G155" s="216">
        <f>G157+G160</f>
        <v>24.83168</v>
      </c>
      <c r="H155" s="216">
        <f>H157+H160</f>
        <v>6930</v>
      </c>
      <c r="I155" s="216">
        <f>I157+I160</f>
        <v>0</v>
      </c>
      <c r="J155" s="148">
        <f t="shared" si="11"/>
        <v>0</v>
      </c>
      <c r="K155" s="123">
        <v>26.68702</v>
      </c>
      <c r="L155" s="119">
        <f t="shared" si="10"/>
        <v>0</v>
      </c>
    </row>
    <row r="156" spans="1:12" s="88" customFormat="1" ht="54" customHeight="1">
      <c r="A156" s="51" t="s">
        <v>597</v>
      </c>
      <c r="B156" s="45" t="s">
        <v>112</v>
      </c>
      <c r="C156" s="45" t="s">
        <v>132</v>
      </c>
      <c r="D156" s="80" t="s">
        <v>262</v>
      </c>
      <c r="E156" s="45" t="s">
        <v>347</v>
      </c>
      <c r="F156" s="218">
        <f>G156+H156</f>
        <v>6954.83168</v>
      </c>
      <c r="G156" s="219">
        <f>G160</f>
        <v>24.83168</v>
      </c>
      <c r="H156" s="219">
        <f>H157</f>
        <v>6930</v>
      </c>
      <c r="I156" s="220">
        <v>0</v>
      </c>
      <c r="J156" s="149">
        <f t="shared" si="11"/>
        <v>0</v>
      </c>
      <c r="K156" s="120">
        <f>K158</f>
        <v>0</v>
      </c>
      <c r="L156" s="119">
        <f t="shared" si="10"/>
        <v>0</v>
      </c>
    </row>
    <row r="157" spans="1:12" s="88" customFormat="1" ht="68.25" customHeight="1">
      <c r="A157" s="44" t="s">
        <v>598</v>
      </c>
      <c r="B157" s="24" t="s">
        <v>112</v>
      </c>
      <c r="C157" s="24" t="s">
        <v>132</v>
      </c>
      <c r="D157" s="54" t="s">
        <v>599</v>
      </c>
      <c r="E157" s="24" t="s">
        <v>347</v>
      </c>
      <c r="F157" s="216">
        <f aca="true" t="shared" si="12" ref="F157:F162">G157+H157</f>
        <v>6930</v>
      </c>
      <c r="G157" s="209"/>
      <c r="H157" s="209">
        <f>H158</f>
        <v>6930</v>
      </c>
      <c r="I157" s="217">
        <f>I158</f>
        <v>0</v>
      </c>
      <c r="J157" s="148">
        <f t="shared" si="11"/>
        <v>0</v>
      </c>
      <c r="K157" s="127"/>
      <c r="L157" s="119">
        <f t="shared" si="10"/>
        <v>0</v>
      </c>
    </row>
    <row r="158" spans="1:12" s="36" customFormat="1" ht="18" customHeight="1">
      <c r="A158" s="74" t="s">
        <v>514</v>
      </c>
      <c r="B158" s="24" t="s">
        <v>112</v>
      </c>
      <c r="C158" s="24" t="s">
        <v>132</v>
      </c>
      <c r="D158" s="54" t="s">
        <v>599</v>
      </c>
      <c r="E158" s="24" t="s">
        <v>512</v>
      </c>
      <c r="F158" s="216">
        <f t="shared" si="12"/>
        <v>6930</v>
      </c>
      <c r="G158" s="209"/>
      <c r="H158" s="209">
        <f>H159</f>
        <v>6930</v>
      </c>
      <c r="I158" s="217">
        <f>I159</f>
        <v>0</v>
      </c>
      <c r="J158" s="148">
        <f t="shared" si="11"/>
        <v>0</v>
      </c>
      <c r="K158" s="117">
        <f>K159</f>
        <v>0</v>
      </c>
      <c r="L158" s="119">
        <f t="shared" si="10"/>
        <v>0</v>
      </c>
    </row>
    <row r="159" spans="1:12" s="48" customFormat="1" ht="17.25" customHeight="1">
      <c r="A159" s="74" t="s">
        <v>515</v>
      </c>
      <c r="B159" s="24" t="s">
        <v>112</v>
      </c>
      <c r="C159" s="24" t="s">
        <v>132</v>
      </c>
      <c r="D159" s="54" t="s">
        <v>599</v>
      </c>
      <c r="E159" s="24" t="s">
        <v>513</v>
      </c>
      <c r="F159" s="216">
        <f t="shared" si="12"/>
        <v>6930</v>
      </c>
      <c r="G159" s="209"/>
      <c r="H159" s="209">
        <v>6930</v>
      </c>
      <c r="I159" s="217">
        <v>0</v>
      </c>
      <c r="J159" s="148">
        <f t="shared" si="11"/>
        <v>0</v>
      </c>
      <c r="K159" s="117">
        <f>K161</f>
        <v>0</v>
      </c>
      <c r="L159" s="119">
        <f t="shared" si="10"/>
        <v>0</v>
      </c>
    </row>
    <row r="160" spans="1:12" s="48" customFormat="1" ht="95.25" customHeight="1">
      <c r="A160" s="44" t="s">
        <v>600</v>
      </c>
      <c r="B160" s="24" t="s">
        <v>112</v>
      </c>
      <c r="C160" s="24" t="s">
        <v>132</v>
      </c>
      <c r="D160" s="54" t="s">
        <v>601</v>
      </c>
      <c r="E160" s="24" t="s">
        <v>347</v>
      </c>
      <c r="F160" s="216">
        <f t="shared" si="12"/>
        <v>24.83168</v>
      </c>
      <c r="G160" s="209">
        <f>G161</f>
        <v>24.83168</v>
      </c>
      <c r="H160" s="209"/>
      <c r="I160" s="217">
        <f>I161</f>
        <v>0</v>
      </c>
      <c r="J160" s="148">
        <f t="shared" si="11"/>
        <v>0</v>
      </c>
      <c r="K160" s="127"/>
      <c r="L160" s="121">
        <f t="shared" si="10"/>
        <v>0</v>
      </c>
    </row>
    <row r="161" spans="1:12" s="48" customFormat="1" ht="33.75" customHeight="1">
      <c r="A161" s="74" t="s">
        <v>514</v>
      </c>
      <c r="B161" s="24" t="s">
        <v>112</v>
      </c>
      <c r="C161" s="24" t="s">
        <v>132</v>
      </c>
      <c r="D161" s="54" t="s">
        <v>601</v>
      </c>
      <c r="E161" s="24" t="s">
        <v>512</v>
      </c>
      <c r="F161" s="216">
        <f t="shared" si="12"/>
        <v>24.83168</v>
      </c>
      <c r="G161" s="209">
        <f>G162</f>
        <v>24.83168</v>
      </c>
      <c r="H161" s="209"/>
      <c r="I161" s="217">
        <f>I162</f>
        <v>0</v>
      </c>
      <c r="J161" s="148">
        <f t="shared" si="11"/>
        <v>0</v>
      </c>
      <c r="K161" s="117"/>
      <c r="L161" s="119">
        <f t="shared" si="10"/>
        <v>0</v>
      </c>
    </row>
    <row r="162" spans="1:12" s="48" customFormat="1" ht="21" customHeight="1">
      <c r="A162" s="74" t="s">
        <v>515</v>
      </c>
      <c r="B162" s="24" t="s">
        <v>112</v>
      </c>
      <c r="C162" s="24" t="s">
        <v>132</v>
      </c>
      <c r="D162" s="54" t="s">
        <v>601</v>
      </c>
      <c r="E162" s="24" t="s">
        <v>513</v>
      </c>
      <c r="F162" s="216">
        <f t="shared" si="12"/>
        <v>24.83168</v>
      </c>
      <c r="G162" s="209">
        <f>70-35.17588-9.99244</f>
        <v>24.83168</v>
      </c>
      <c r="H162" s="209"/>
      <c r="I162" s="217">
        <v>0</v>
      </c>
      <c r="J162" s="148">
        <f t="shared" si="11"/>
        <v>0</v>
      </c>
      <c r="K162" s="127">
        <f>K164</f>
        <v>0</v>
      </c>
      <c r="L162" s="119">
        <f t="shared" si="10"/>
        <v>0</v>
      </c>
    </row>
    <row r="163" spans="1:12" s="48" customFormat="1" ht="81.75" customHeight="1">
      <c r="A163" s="51" t="s">
        <v>602</v>
      </c>
      <c r="B163" s="45" t="s">
        <v>112</v>
      </c>
      <c r="C163" s="45" t="s">
        <v>132</v>
      </c>
      <c r="D163" s="80" t="s">
        <v>603</v>
      </c>
      <c r="E163" s="45" t="s">
        <v>347</v>
      </c>
      <c r="F163" s="218">
        <f>G163+H163</f>
        <v>395</v>
      </c>
      <c r="G163" s="219">
        <f>G164</f>
        <v>395</v>
      </c>
      <c r="H163" s="219"/>
      <c r="I163" s="220">
        <f>I164</f>
        <v>395</v>
      </c>
      <c r="J163" s="149">
        <f t="shared" si="11"/>
        <v>100</v>
      </c>
      <c r="K163" s="127"/>
      <c r="L163" s="119">
        <f t="shared" si="10"/>
        <v>100</v>
      </c>
    </row>
    <row r="164" spans="1:12" s="36" customFormat="1" ht="48" customHeight="1" hidden="1">
      <c r="A164" s="44" t="s">
        <v>151</v>
      </c>
      <c r="B164" s="24" t="s">
        <v>112</v>
      </c>
      <c r="C164" s="24" t="s">
        <v>132</v>
      </c>
      <c r="D164" s="54" t="s">
        <v>603</v>
      </c>
      <c r="E164" s="24" t="s">
        <v>121</v>
      </c>
      <c r="F164" s="216">
        <f>G164+H164</f>
        <v>395</v>
      </c>
      <c r="G164" s="209">
        <f>G165</f>
        <v>395</v>
      </c>
      <c r="H164" s="209"/>
      <c r="I164" s="217">
        <f>I165</f>
        <v>395</v>
      </c>
      <c r="J164" s="148">
        <f t="shared" si="11"/>
        <v>100</v>
      </c>
      <c r="K164" s="117">
        <f>K166</f>
        <v>0</v>
      </c>
      <c r="L164" s="119">
        <f t="shared" si="10"/>
        <v>100</v>
      </c>
    </row>
    <row r="165" spans="1:12" s="4" customFormat="1" ht="50.25" customHeight="1" hidden="1">
      <c r="A165" s="74" t="s">
        <v>152</v>
      </c>
      <c r="B165" s="24" t="s">
        <v>112</v>
      </c>
      <c r="C165" s="24" t="s">
        <v>132</v>
      </c>
      <c r="D165" s="54" t="s">
        <v>603</v>
      </c>
      <c r="E165" s="24" t="s">
        <v>153</v>
      </c>
      <c r="F165" s="216">
        <f>G165+H165</f>
        <v>395</v>
      </c>
      <c r="G165" s="209">
        <v>395</v>
      </c>
      <c r="H165" s="209"/>
      <c r="I165" s="217">
        <v>395</v>
      </c>
      <c r="J165" s="148">
        <f t="shared" si="11"/>
        <v>100</v>
      </c>
      <c r="K165" s="117"/>
      <c r="L165" s="119">
        <f t="shared" si="10"/>
        <v>100</v>
      </c>
    </row>
    <row r="166" spans="1:12" s="4" customFormat="1" ht="50.25" customHeight="1" hidden="1">
      <c r="A166" s="52" t="s">
        <v>30</v>
      </c>
      <c r="B166" s="24" t="s">
        <v>112</v>
      </c>
      <c r="C166" s="24" t="s">
        <v>132</v>
      </c>
      <c r="D166" s="54" t="s">
        <v>31</v>
      </c>
      <c r="E166" s="24" t="s">
        <v>347</v>
      </c>
      <c r="F166" s="216">
        <f t="shared" si="4"/>
        <v>83</v>
      </c>
      <c r="G166" s="209">
        <f>G167</f>
        <v>83</v>
      </c>
      <c r="H166" s="209">
        <f>H168</f>
        <v>0</v>
      </c>
      <c r="I166" s="217">
        <f>I167</f>
        <v>82.94077</v>
      </c>
      <c r="J166" s="148">
        <f t="shared" si="11"/>
        <v>99.92863855421686</v>
      </c>
      <c r="K166" s="117"/>
      <c r="L166" s="119">
        <f t="shared" si="10"/>
        <v>99.92863855421686</v>
      </c>
    </row>
    <row r="167" spans="1:12" s="4" customFormat="1" ht="33.75" customHeight="1" hidden="1">
      <c r="A167" s="44" t="s">
        <v>151</v>
      </c>
      <c r="B167" s="24" t="s">
        <v>112</v>
      </c>
      <c r="C167" s="24" t="s">
        <v>132</v>
      </c>
      <c r="D167" s="54" t="s">
        <v>604</v>
      </c>
      <c r="E167" s="24" t="s">
        <v>121</v>
      </c>
      <c r="F167" s="216">
        <f t="shared" si="4"/>
        <v>83</v>
      </c>
      <c r="G167" s="209">
        <f>G168</f>
        <v>83</v>
      </c>
      <c r="H167" s="209"/>
      <c r="I167" s="217">
        <f>I168</f>
        <v>82.94077</v>
      </c>
      <c r="J167" s="148">
        <f t="shared" si="11"/>
        <v>99.92863855421686</v>
      </c>
      <c r="K167" s="117"/>
      <c r="L167" s="119">
        <f t="shared" si="10"/>
        <v>99.92863855421686</v>
      </c>
    </row>
    <row r="168" spans="1:12" s="4" customFormat="1" ht="50.25" customHeight="1" hidden="1">
      <c r="A168" s="74" t="s">
        <v>152</v>
      </c>
      <c r="B168" s="24" t="s">
        <v>112</v>
      </c>
      <c r="C168" s="24" t="s">
        <v>132</v>
      </c>
      <c r="D168" s="54" t="s">
        <v>604</v>
      </c>
      <c r="E168" s="24" t="s">
        <v>153</v>
      </c>
      <c r="F168" s="216">
        <f t="shared" si="4"/>
        <v>83</v>
      </c>
      <c r="G168" s="209">
        <v>83</v>
      </c>
      <c r="H168" s="209"/>
      <c r="I168" s="217">
        <v>82.94077</v>
      </c>
      <c r="J168" s="148">
        <f t="shared" si="11"/>
        <v>99.92863855421686</v>
      </c>
      <c r="K168" s="132"/>
      <c r="L168" s="119">
        <f t="shared" si="10"/>
        <v>99.92863855421686</v>
      </c>
    </row>
    <row r="169" spans="1:13" s="27" customFormat="1" ht="66.75" customHeight="1">
      <c r="A169" s="51" t="s">
        <v>416</v>
      </c>
      <c r="B169" s="45" t="s">
        <v>112</v>
      </c>
      <c r="C169" s="45" t="s">
        <v>132</v>
      </c>
      <c r="D169" s="80" t="s">
        <v>32</v>
      </c>
      <c r="E169" s="45" t="s">
        <v>347</v>
      </c>
      <c r="F169" s="218">
        <f aca="true" t="shared" si="13" ref="F169:F321">G169+H169</f>
        <v>43</v>
      </c>
      <c r="G169" s="219">
        <f>G170</f>
        <v>43</v>
      </c>
      <c r="H169" s="219">
        <f>H171</f>
        <v>0</v>
      </c>
      <c r="I169" s="220">
        <f>I170</f>
        <v>43</v>
      </c>
      <c r="J169" s="149">
        <f t="shared" si="11"/>
        <v>100</v>
      </c>
      <c r="K169" s="132"/>
      <c r="L169" s="119">
        <f t="shared" si="10"/>
        <v>100</v>
      </c>
      <c r="M169" s="166"/>
    </row>
    <row r="170" spans="1:12" s="30" customFormat="1" ht="38.25" customHeight="1">
      <c r="A170" s="44" t="s">
        <v>151</v>
      </c>
      <c r="B170" s="24" t="s">
        <v>112</v>
      </c>
      <c r="C170" s="24" t="s">
        <v>132</v>
      </c>
      <c r="D170" s="54" t="s">
        <v>33</v>
      </c>
      <c r="E170" s="24" t="s">
        <v>121</v>
      </c>
      <c r="F170" s="216">
        <f t="shared" si="13"/>
        <v>43</v>
      </c>
      <c r="G170" s="209">
        <f>G171</f>
        <v>43</v>
      </c>
      <c r="H170" s="209"/>
      <c r="I170" s="217">
        <f>I171</f>
        <v>43</v>
      </c>
      <c r="J170" s="148">
        <f t="shared" si="11"/>
        <v>100</v>
      </c>
      <c r="K170" s="167"/>
      <c r="L170" s="121">
        <f t="shared" si="10"/>
        <v>100</v>
      </c>
    </row>
    <row r="171" spans="1:12" s="9" customFormat="1" ht="40.5" customHeight="1">
      <c r="A171" s="74" t="s">
        <v>152</v>
      </c>
      <c r="B171" s="24" t="s">
        <v>112</v>
      </c>
      <c r="C171" s="24" t="s">
        <v>132</v>
      </c>
      <c r="D171" s="54" t="s">
        <v>34</v>
      </c>
      <c r="E171" s="24" t="s">
        <v>153</v>
      </c>
      <c r="F171" s="216">
        <f t="shared" si="13"/>
        <v>43</v>
      </c>
      <c r="G171" s="209">
        <f>10-10+43</f>
        <v>43</v>
      </c>
      <c r="H171" s="209"/>
      <c r="I171" s="217">
        <v>43</v>
      </c>
      <c r="J171" s="148">
        <f t="shared" si="11"/>
        <v>100</v>
      </c>
      <c r="K171" s="133"/>
      <c r="L171" s="119">
        <f t="shared" si="10"/>
        <v>100</v>
      </c>
    </row>
    <row r="172" spans="1:12" s="9" customFormat="1" ht="35.25" customHeight="1" hidden="1">
      <c r="A172" s="62" t="s">
        <v>371</v>
      </c>
      <c r="B172" s="45" t="s">
        <v>112</v>
      </c>
      <c r="C172" s="45" t="s">
        <v>132</v>
      </c>
      <c r="D172" s="80" t="s">
        <v>35</v>
      </c>
      <c r="E172" s="45" t="s">
        <v>347</v>
      </c>
      <c r="F172" s="218">
        <f>G172+H172</f>
        <v>0</v>
      </c>
      <c r="G172" s="219">
        <f>G173</f>
        <v>0</v>
      </c>
      <c r="H172" s="219">
        <f>H173</f>
        <v>0</v>
      </c>
      <c r="I172" s="217">
        <v>0</v>
      </c>
      <c r="J172" s="148" t="e">
        <f t="shared" si="11"/>
        <v>#DIV/0!</v>
      </c>
      <c r="K172" s="132"/>
      <c r="L172" s="119" t="e">
        <f t="shared" si="10"/>
        <v>#DIV/0!</v>
      </c>
    </row>
    <row r="173" spans="1:12" s="9" customFormat="1" ht="48" customHeight="1" hidden="1">
      <c r="A173" s="74" t="s">
        <v>151</v>
      </c>
      <c r="B173" s="24" t="s">
        <v>112</v>
      </c>
      <c r="C173" s="24" t="s">
        <v>132</v>
      </c>
      <c r="D173" s="54" t="s">
        <v>427</v>
      </c>
      <c r="E173" s="24" t="s">
        <v>121</v>
      </c>
      <c r="F173" s="216">
        <f>G173+H173</f>
        <v>0</v>
      </c>
      <c r="G173" s="209">
        <f>G174</f>
        <v>0</v>
      </c>
      <c r="H173" s="209">
        <f>H174</f>
        <v>0</v>
      </c>
      <c r="I173" s="217">
        <v>0</v>
      </c>
      <c r="J173" s="148" t="e">
        <f t="shared" si="11"/>
        <v>#DIV/0!</v>
      </c>
      <c r="K173" s="132"/>
      <c r="L173" s="119" t="e">
        <f t="shared" si="10"/>
        <v>#DIV/0!</v>
      </c>
    </row>
    <row r="174" spans="1:12" s="30" customFormat="1" ht="17.25" customHeight="1" hidden="1">
      <c r="A174" s="74" t="s">
        <v>152</v>
      </c>
      <c r="B174" s="24" t="s">
        <v>112</v>
      </c>
      <c r="C174" s="24" t="s">
        <v>132</v>
      </c>
      <c r="D174" s="54" t="s">
        <v>427</v>
      </c>
      <c r="E174" s="24" t="s">
        <v>153</v>
      </c>
      <c r="F174" s="216">
        <f>G174+H174</f>
        <v>0</v>
      </c>
      <c r="G174" s="209"/>
      <c r="H174" s="209"/>
      <c r="I174" s="217">
        <v>0</v>
      </c>
      <c r="J174" s="148" t="e">
        <f t="shared" si="11"/>
        <v>#DIV/0!</v>
      </c>
      <c r="K174" s="167"/>
      <c r="L174" s="121" t="e">
        <f t="shared" si="10"/>
        <v>#DIV/0!</v>
      </c>
    </row>
    <row r="175" spans="1:12" s="30" customFormat="1" ht="51" customHeight="1">
      <c r="A175" s="62" t="s">
        <v>467</v>
      </c>
      <c r="B175" s="45" t="s">
        <v>112</v>
      </c>
      <c r="C175" s="45" t="s">
        <v>132</v>
      </c>
      <c r="D175" s="80" t="s">
        <v>470</v>
      </c>
      <c r="E175" s="45" t="s">
        <v>347</v>
      </c>
      <c r="F175" s="218">
        <f t="shared" si="13"/>
        <v>15</v>
      </c>
      <c r="G175" s="219">
        <f>G176</f>
        <v>15</v>
      </c>
      <c r="H175" s="230"/>
      <c r="I175" s="217">
        <f>I176</f>
        <v>8</v>
      </c>
      <c r="J175" s="148">
        <f t="shared" si="11"/>
        <v>53.333333333333336</v>
      </c>
      <c r="K175" s="132"/>
      <c r="L175" s="121">
        <f t="shared" si="10"/>
        <v>53.333333333333336</v>
      </c>
    </row>
    <row r="176" spans="1:12" s="4" customFormat="1" ht="35.25" customHeight="1">
      <c r="A176" s="74" t="s">
        <v>468</v>
      </c>
      <c r="B176" s="24" t="s">
        <v>112</v>
      </c>
      <c r="C176" s="24" t="s">
        <v>132</v>
      </c>
      <c r="D176" s="54" t="s">
        <v>471</v>
      </c>
      <c r="E176" s="24" t="s">
        <v>121</v>
      </c>
      <c r="F176" s="216">
        <f t="shared" si="13"/>
        <v>15</v>
      </c>
      <c r="G176" s="209">
        <f>G177</f>
        <v>15</v>
      </c>
      <c r="H176" s="209"/>
      <c r="I176" s="217">
        <f>I177</f>
        <v>8</v>
      </c>
      <c r="J176" s="148">
        <f t="shared" si="11"/>
        <v>53.333333333333336</v>
      </c>
      <c r="K176" s="134">
        <f>K177</f>
        <v>0</v>
      </c>
      <c r="L176" s="119">
        <f t="shared" si="10"/>
        <v>53.333333333333336</v>
      </c>
    </row>
    <row r="177" spans="1:12" s="4" customFormat="1" ht="18" customHeight="1">
      <c r="A177" s="74" t="s">
        <v>508</v>
      </c>
      <c r="B177" s="24" t="s">
        <v>112</v>
      </c>
      <c r="C177" s="24" t="s">
        <v>132</v>
      </c>
      <c r="D177" s="54" t="s">
        <v>472</v>
      </c>
      <c r="E177" s="24" t="s">
        <v>153</v>
      </c>
      <c r="F177" s="216">
        <f t="shared" si="13"/>
        <v>15</v>
      </c>
      <c r="G177" s="209">
        <v>15</v>
      </c>
      <c r="H177" s="209"/>
      <c r="I177" s="217">
        <v>8</v>
      </c>
      <c r="J177" s="148">
        <f t="shared" si="11"/>
        <v>53.333333333333336</v>
      </c>
      <c r="K177" s="120">
        <f>K178</f>
        <v>0</v>
      </c>
      <c r="L177" s="119">
        <f t="shared" si="10"/>
        <v>53.333333333333336</v>
      </c>
    </row>
    <row r="178" spans="1:12" s="4" customFormat="1" ht="18.75" customHeight="1" hidden="1">
      <c r="A178" s="100" t="s">
        <v>309</v>
      </c>
      <c r="B178" s="31" t="s">
        <v>112</v>
      </c>
      <c r="C178" s="31" t="s">
        <v>132</v>
      </c>
      <c r="D178" s="92" t="s">
        <v>262</v>
      </c>
      <c r="E178" s="31" t="s">
        <v>347</v>
      </c>
      <c r="F178" s="214">
        <f>G178+H178</f>
        <v>0</v>
      </c>
      <c r="G178" s="226">
        <f>G179</f>
        <v>0</v>
      </c>
      <c r="H178" s="226">
        <f>H179</f>
        <v>0</v>
      </c>
      <c r="I178" s="228">
        <v>0</v>
      </c>
      <c r="J178" s="150" t="e">
        <f t="shared" si="11"/>
        <v>#DIV/0!</v>
      </c>
      <c r="K178" s="60">
        <f>K180</f>
        <v>0</v>
      </c>
      <c r="L178" s="119" t="e">
        <f t="shared" si="10"/>
        <v>#DIV/0!</v>
      </c>
    </row>
    <row r="179" spans="1:12" s="4" customFormat="1" ht="64.5" customHeight="1" hidden="1">
      <c r="A179" s="44" t="s">
        <v>302</v>
      </c>
      <c r="B179" s="24" t="s">
        <v>112</v>
      </c>
      <c r="C179" s="24" t="s">
        <v>132</v>
      </c>
      <c r="D179" s="54" t="s">
        <v>262</v>
      </c>
      <c r="E179" s="24" t="s">
        <v>347</v>
      </c>
      <c r="F179" s="216">
        <f t="shared" si="13"/>
        <v>0</v>
      </c>
      <c r="G179" s="209">
        <f>G181</f>
        <v>0</v>
      </c>
      <c r="H179" s="209">
        <f>H180</f>
        <v>0</v>
      </c>
      <c r="I179" s="217">
        <v>0</v>
      </c>
      <c r="J179" s="148" t="e">
        <f t="shared" si="11"/>
        <v>#DIV/0!</v>
      </c>
      <c r="K179" s="60"/>
      <c r="L179" s="119" t="e">
        <f t="shared" si="10"/>
        <v>#DIV/0!</v>
      </c>
    </row>
    <row r="180" spans="1:12" s="4" customFormat="1" ht="144" customHeight="1" hidden="1">
      <c r="A180" s="51" t="s">
        <v>465</v>
      </c>
      <c r="B180" s="24" t="s">
        <v>112</v>
      </c>
      <c r="C180" s="24" t="s">
        <v>132</v>
      </c>
      <c r="D180" s="80" t="s">
        <v>454</v>
      </c>
      <c r="E180" s="45" t="s">
        <v>347</v>
      </c>
      <c r="F180" s="218">
        <f t="shared" si="13"/>
        <v>0</v>
      </c>
      <c r="G180" s="219">
        <f>G182</f>
        <v>0</v>
      </c>
      <c r="H180" s="219">
        <f>H181</f>
        <v>0</v>
      </c>
      <c r="I180" s="220">
        <v>0</v>
      </c>
      <c r="J180" s="149" t="e">
        <f t="shared" si="11"/>
        <v>#DIV/0!</v>
      </c>
      <c r="K180" s="60"/>
      <c r="L180" s="119" t="e">
        <f t="shared" si="10"/>
        <v>#DIV/0!</v>
      </c>
    </row>
    <row r="181" spans="1:12" s="4" customFormat="1" ht="36.75" customHeight="1" hidden="1">
      <c r="A181" s="44" t="s">
        <v>310</v>
      </c>
      <c r="B181" s="24" t="s">
        <v>112</v>
      </c>
      <c r="C181" s="24" t="s">
        <v>132</v>
      </c>
      <c r="D181" s="54" t="s">
        <v>450</v>
      </c>
      <c r="E181" s="24" t="s">
        <v>347</v>
      </c>
      <c r="F181" s="216">
        <f t="shared" si="13"/>
        <v>0</v>
      </c>
      <c r="G181" s="209">
        <f>G183</f>
        <v>0</v>
      </c>
      <c r="H181" s="209">
        <f>H182</f>
        <v>0</v>
      </c>
      <c r="I181" s="217">
        <v>0</v>
      </c>
      <c r="J181" s="148" t="e">
        <f t="shared" si="11"/>
        <v>#DIV/0!</v>
      </c>
      <c r="K181" s="77"/>
      <c r="L181" s="119" t="e">
        <f t="shared" si="10"/>
        <v>#DIV/0!</v>
      </c>
    </row>
    <row r="182" spans="1:12" s="4" customFormat="1" ht="33.75" customHeight="1" hidden="1">
      <c r="A182" s="44" t="s">
        <v>162</v>
      </c>
      <c r="B182" s="24" t="s">
        <v>112</v>
      </c>
      <c r="C182" s="24" t="s">
        <v>132</v>
      </c>
      <c r="D182" s="54" t="s">
        <v>450</v>
      </c>
      <c r="E182" s="24" t="s">
        <v>163</v>
      </c>
      <c r="F182" s="216">
        <f t="shared" si="13"/>
        <v>0</v>
      </c>
      <c r="G182" s="209">
        <f>G183</f>
        <v>0</v>
      </c>
      <c r="H182" s="209">
        <f>H183</f>
        <v>0</v>
      </c>
      <c r="I182" s="217">
        <v>0</v>
      </c>
      <c r="J182" s="148" t="e">
        <f t="shared" si="11"/>
        <v>#DIV/0!</v>
      </c>
      <c r="K182" s="78"/>
      <c r="L182" s="119" t="e">
        <f t="shared" si="10"/>
        <v>#DIV/0!</v>
      </c>
    </row>
    <row r="183" spans="1:12" s="30" customFormat="1" ht="17.25" customHeight="1" hidden="1">
      <c r="A183" s="44" t="s">
        <v>133</v>
      </c>
      <c r="B183" s="24" t="s">
        <v>112</v>
      </c>
      <c r="C183" s="24" t="s">
        <v>132</v>
      </c>
      <c r="D183" s="54" t="s">
        <v>450</v>
      </c>
      <c r="E183" s="24" t="s">
        <v>311</v>
      </c>
      <c r="F183" s="216">
        <f t="shared" si="13"/>
        <v>0</v>
      </c>
      <c r="G183" s="209">
        <v>0</v>
      </c>
      <c r="H183" s="209">
        <v>0</v>
      </c>
      <c r="I183" s="217">
        <v>0</v>
      </c>
      <c r="J183" s="148" t="e">
        <f t="shared" si="11"/>
        <v>#DIV/0!</v>
      </c>
      <c r="K183" s="168"/>
      <c r="L183" s="165" t="e">
        <f t="shared" si="10"/>
        <v>#DIV/0!</v>
      </c>
    </row>
    <row r="184" spans="1:12" s="30" customFormat="1" ht="94.5" customHeight="1" hidden="1">
      <c r="A184" s="100" t="s">
        <v>312</v>
      </c>
      <c r="B184" s="31" t="s">
        <v>112</v>
      </c>
      <c r="C184" s="31" t="s">
        <v>132</v>
      </c>
      <c r="D184" s="92" t="s">
        <v>262</v>
      </c>
      <c r="E184" s="31" t="s">
        <v>347</v>
      </c>
      <c r="F184" s="214">
        <f>G184+H184</f>
        <v>0</v>
      </c>
      <c r="G184" s="226">
        <f>G185</f>
        <v>0</v>
      </c>
      <c r="H184" s="226">
        <f>H185</f>
        <v>0</v>
      </c>
      <c r="I184" s="228">
        <v>0</v>
      </c>
      <c r="J184" s="150" t="e">
        <f t="shared" si="11"/>
        <v>#DIV/0!</v>
      </c>
      <c r="K184" s="131">
        <f>K185+K200+K193</f>
        <v>1.248</v>
      </c>
      <c r="L184" s="119" t="e">
        <f t="shared" si="10"/>
        <v>#DIV/0!</v>
      </c>
    </row>
    <row r="185" spans="1:12" s="4" customFormat="1" ht="33.75" customHeight="1" hidden="1">
      <c r="A185" s="44" t="s">
        <v>313</v>
      </c>
      <c r="B185" s="24" t="s">
        <v>112</v>
      </c>
      <c r="C185" s="24" t="s">
        <v>132</v>
      </c>
      <c r="D185" s="54" t="s">
        <v>262</v>
      </c>
      <c r="E185" s="24" t="s">
        <v>347</v>
      </c>
      <c r="F185" s="216">
        <f t="shared" si="13"/>
        <v>0</v>
      </c>
      <c r="G185" s="209">
        <f>G186</f>
        <v>0</v>
      </c>
      <c r="H185" s="209">
        <f>H186</f>
        <v>0</v>
      </c>
      <c r="I185" s="217">
        <v>0</v>
      </c>
      <c r="J185" s="148" t="e">
        <f t="shared" si="11"/>
        <v>#DIV/0!</v>
      </c>
      <c r="K185" s="127">
        <f>K186</f>
        <v>0</v>
      </c>
      <c r="L185" s="119" t="e">
        <f t="shared" si="10"/>
        <v>#DIV/0!</v>
      </c>
    </row>
    <row r="186" spans="1:12" s="4" customFormat="1" ht="35.25" customHeight="1" hidden="1">
      <c r="A186" s="44" t="s">
        <v>315</v>
      </c>
      <c r="B186" s="24" t="s">
        <v>112</v>
      </c>
      <c r="C186" s="24" t="s">
        <v>132</v>
      </c>
      <c r="D186" s="54" t="s">
        <v>19</v>
      </c>
      <c r="E186" s="24" t="s">
        <v>347</v>
      </c>
      <c r="F186" s="216">
        <f t="shared" si="13"/>
        <v>0</v>
      </c>
      <c r="G186" s="209">
        <f>G188</f>
        <v>0</v>
      </c>
      <c r="H186" s="209">
        <f>H188</f>
        <v>0</v>
      </c>
      <c r="I186" s="217">
        <v>0</v>
      </c>
      <c r="J186" s="148" t="e">
        <f t="shared" si="11"/>
        <v>#DIV/0!</v>
      </c>
      <c r="K186" s="117">
        <f>K187</f>
        <v>0</v>
      </c>
      <c r="L186" s="119" t="e">
        <f t="shared" si="10"/>
        <v>#DIV/0!</v>
      </c>
    </row>
    <row r="187" spans="1:12" s="4" customFormat="1" ht="47.25" customHeight="1" hidden="1">
      <c r="A187" s="44" t="s">
        <v>151</v>
      </c>
      <c r="B187" s="24" t="s">
        <v>112</v>
      </c>
      <c r="C187" s="24" t="s">
        <v>132</v>
      </c>
      <c r="D187" s="54" t="s">
        <v>19</v>
      </c>
      <c r="E187" s="24" t="s">
        <v>121</v>
      </c>
      <c r="F187" s="216">
        <f t="shared" si="13"/>
        <v>0</v>
      </c>
      <c r="G187" s="209">
        <f>G188</f>
        <v>0</v>
      </c>
      <c r="H187" s="209"/>
      <c r="I187" s="217">
        <v>0</v>
      </c>
      <c r="J187" s="148" t="e">
        <f t="shared" si="11"/>
        <v>#DIV/0!</v>
      </c>
      <c r="K187" s="117">
        <f>K189</f>
        <v>0</v>
      </c>
      <c r="L187" s="119" t="e">
        <f t="shared" si="10"/>
        <v>#DIV/0!</v>
      </c>
    </row>
    <row r="188" spans="1:12" s="4" customFormat="1" ht="17.25" customHeight="1" hidden="1">
      <c r="A188" s="74" t="s">
        <v>152</v>
      </c>
      <c r="B188" s="24" t="s">
        <v>112</v>
      </c>
      <c r="C188" s="24" t="s">
        <v>132</v>
      </c>
      <c r="D188" s="54" t="s">
        <v>19</v>
      </c>
      <c r="E188" s="24" t="s">
        <v>153</v>
      </c>
      <c r="F188" s="216">
        <f t="shared" si="13"/>
        <v>0</v>
      </c>
      <c r="G188" s="209">
        <v>0</v>
      </c>
      <c r="H188" s="209"/>
      <c r="I188" s="217">
        <v>0</v>
      </c>
      <c r="J188" s="148" t="e">
        <f t="shared" si="11"/>
        <v>#DIV/0!</v>
      </c>
      <c r="K188" s="117"/>
      <c r="L188" s="119" t="e">
        <f t="shared" si="10"/>
        <v>#DIV/0!</v>
      </c>
    </row>
    <row r="189" spans="1:12" ht="78.75">
      <c r="A189" s="62" t="s">
        <v>605</v>
      </c>
      <c r="B189" s="45" t="s">
        <v>112</v>
      </c>
      <c r="C189" s="45" t="s">
        <v>132</v>
      </c>
      <c r="D189" s="80" t="s">
        <v>606</v>
      </c>
      <c r="E189" s="45" t="s">
        <v>347</v>
      </c>
      <c r="F189" s="218">
        <f>G189+H189</f>
        <v>3106.391</v>
      </c>
      <c r="G189" s="219"/>
      <c r="H189" s="219">
        <f>H190</f>
        <v>3106.391</v>
      </c>
      <c r="I189" s="220">
        <f>I190</f>
        <v>3106.391</v>
      </c>
      <c r="J189" s="149">
        <f t="shared" si="11"/>
        <v>100</v>
      </c>
      <c r="K189" s="117"/>
      <c r="L189" s="119">
        <f t="shared" si="10"/>
        <v>100</v>
      </c>
    </row>
    <row r="190" spans="1:12" ht="108.75" customHeight="1" hidden="1">
      <c r="A190" s="44" t="s">
        <v>148</v>
      </c>
      <c r="B190" s="24" t="s">
        <v>112</v>
      </c>
      <c r="C190" s="24" t="s">
        <v>132</v>
      </c>
      <c r="D190" s="54" t="s">
        <v>606</v>
      </c>
      <c r="E190" s="24" t="s">
        <v>117</v>
      </c>
      <c r="F190" s="216">
        <f>G190+H190</f>
        <v>3106.391</v>
      </c>
      <c r="G190" s="209"/>
      <c r="H190" s="209">
        <f>H191</f>
        <v>3106.391</v>
      </c>
      <c r="I190" s="217">
        <f>I191</f>
        <v>3106.391</v>
      </c>
      <c r="J190" s="148">
        <f t="shared" si="11"/>
        <v>100</v>
      </c>
      <c r="K190" s="117"/>
      <c r="L190" s="119">
        <f t="shared" si="10"/>
        <v>100</v>
      </c>
    </row>
    <row r="191" spans="1:12" ht="30.75" customHeight="1" hidden="1">
      <c r="A191" s="74" t="s">
        <v>150</v>
      </c>
      <c r="B191" s="24" t="s">
        <v>112</v>
      </c>
      <c r="C191" s="24" t="s">
        <v>132</v>
      </c>
      <c r="D191" s="54" t="s">
        <v>606</v>
      </c>
      <c r="E191" s="24" t="s">
        <v>149</v>
      </c>
      <c r="F191" s="216">
        <f>G191+H191</f>
        <v>3106.391</v>
      </c>
      <c r="G191" s="209"/>
      <c r="H191" s="209">
        <v>3106.391</v>
      </c>
      <c r="I191" s="217">
        <v>3106.391</v>
      </c>
      <c r="J191" s="148">
        <f t="shared" si="11"/>
        <v>100</v>
      </c>
      <c r="K191" s="117"/>
      <c r="L191" s="119">
        <f t="shared" si="10"/>
        <v>100</v>
      </c>
    </row>
    <row r="192" spans="1:12" ht="62.25" customHeight="1">
      <c r="A192" s="62" t="s">
        <v>607</v>
      </c>
      <c r="B192" s="24" t="s">
        <v>112</v>
      </c>
      <c r="C192" s="24" t="s">
        <v>132</v>
      </c>
      <c r="D192" s="54" t="s">
        <v>608</v>
      </c>
      <c r="E192" s="24" t="s">
        <v>347</v>
      </c>
      <c r="F192" s="216">
        <f>G192</f>
        <v>918</v>
      </c>
      <c r="G192" s="209">
        <f>G193+G195</f>
        <v>918</v>
      </c>
      <c r="H192" s="209"/>
      <c r="I192" s="217">
        <v>918</v>
      </c>
      <c r="J192" s="148">
        <f t="shared" si="11"/>
        <v>100</v>
      </c>
      <c r="K192" s="127"/>
      <c r="L192" s="121">
        <f t="shared" si="10"/>
        <v>100</v>
      </c>
    </row>
    <row r="193" spans="1:12" ht="87" customHeight="1">
      <c r="A193" s="44" t="s">
        <v>148</v>
      </c>
      <c r="B193" s="24" t="s">
        <v>112</v>
      </c>
      <c r="C193" s="24" t="s">
        <v>132</v>
      </c>
      <c r="D193" s="54" t="s">
        <v>608</v>
      </c>
      <c r="E193" s="24" t="s">
        <v>117</v>
      </c>
      <c r="F193" s="216">
        <f>G193</f>
        <v>268</v>
      </c>
      <c r="G193" s="209">
        <f>G194</f>
        <v>268</v>
      </c>
      <c r="H193" s="209"/>
      <c r="I193" s="217">
        <v>268</v>
      </c>
      <c r="J193" s="148">
        <f t="shared" si="11"/>
        <v>100</v>
      </c>
      <c r="K193" s="81">
        <f>K194+K197</f>
        <v>0</v>
      </c>
      <c r="L193" s="119">
        <f t="shared" si="10"/>
        <v>100</v>
      </c>
    </row>
    <row r="194" spans="1:12" ht="20.25" customHeight="1">
      <c r="A194" s="74" t="s">
        <v>150</v>
      </c>
      <c r="B194" s="24" t="s">
        <v>112</v>
      </c>
      <c r="C194" s="24" t="s">
        <v>132</v>
      </c>
      <c r="D194" s="54" t="s">
        <v>608</v>
      </c>
      <c r="E194" s="24" t="s">
        <v>149</v>
      </c>
      <c r="F194" s="216">
        <f>G194</f>
        <v>268</v>
      </c>
      <c r="G194" s="209">
        <v>268</v>
      </c>
      <c r="H194" s="209"/>
      <c r="I194" s="217">
        <v>268</v>
      </c>
      <c r="J194" s="148">
        <f t="shared" si="11"/>
        <v>100</v>
      </c>
      <c r="K194" s="117">
        <f>K195</f>
        <v>0</v>
      </c>
      <c r="L194" s="119">
        <f t="shared" si="10"/>
        <v>100</v>
      </c>
    </row>
    <row r="195" spans="1:12" ht="54" customHeight="1">
      <c r="A195" s="44" t="s">
        <v>151</v>
      </c>
      <c r="B195" s="24" t="s">
        <v>112</v>
      </c>
      <c r="C195" s="24" t="s">
        <v>132</v>
      </c>
      <c r="D195" s="54" t="s">
        <v>608</v>
      </c>
      <c r="E195" s="24" t="s">
        <v>121</v>
      </c>
      <c r="F195" s="216">
        <f>G195</f>
        <v>650</v>
      </c>
      <c r="G195" s="209">
        <f>G196</f>
        <v>650</v>
      </c>
      <c r="H195" s="209"/>
      <c r="I195" s="217">
        <v>650</v>
      </c>
      <c r="J195" s="148">
        <f t="shared" si="11"/>
        <v>100</v>
      </c>
      <c r="K195" s="117">
        <f>K196</f>
        <v>0</v>
      </c>
      <c r="L195" s="119">
        <f t="shared" si="10"/>
        <v>100</v>
      </c>
    </row>
    <row r="196" spans="1:12" ht="39" customHeight="1">
      <c r="A196" s="74" t="s">
        <v>152</v>
      </c>
      <c r="B196" s="24" t="s">
        <v>112</v>
      </c>
      <c r="C196" s="24" t="s">
        <v>132</v>
      </c>
      <c r="D196" s="54" t="s">
        <v>608</v>
      </c>
      <c r="E196" s="24" t="s">
        <v>153</v>
      </c>
      <c r="F196" s="216">
        <f>G196</f>
        <v>650</v>
      </c>
      <c r="G196" s="209">
        <v>650</v>
      </c>
      <c r="H196" s="209"/>
      <c r="I196" s="217">
        <v>650</v>
      </c>
      <c r="J196" s="148">
        <f t="shared" si="11"/>
        <v>100</v>
      </c>
      <c r="K196" s="117"/>
      <c r="L196" s="119">
        <f t="shared" si="10"/>
        <v>100</v>
      </c>
    </row>
    <row r="197" spans="1:12" ht="82.5" customHeight="1">
      <c r="A197" s="62" t="s">
        <v>609</v>
      </c>
      <c r="B197" s="24" t="s">
        <v>112</v>
      </c>
      <c r="C197" s="24" t="s">
        <v>132</v>
      </c>
      <c r="D197" s="80" t="s">
        <v>610</v>
      </c>
      <c r="E197" s="45" t="s">
        <v>347</v>
      </c>
      <c r="F197" s="218">
        <f aca="true" t="shared" si="14" ref="F197:F204">G197+H197</f>
        <v>646</v>
      </c>
      <c r="G197" s="219"/>
      <c r="H197" s="219">
        <f>H198</f>
        <v>646</v>
      </c>
      <c r="I197" s="220">
        <v>646</v>
      </c>
      <c r="J197" s="149">
        <f t="shared" si="11"/>
        <v>100</v>
      </c>
      <c r="K197" s="117">
        <f>K198</f>
        <v>0</v>
      </c>
      <c r="L197" s="119">
        <f t="shared" si="10"/>
        <v>100</v>
      </c>
    </row>
    <row r="198" spans="1:12" ht="36.75" customHeight="1">
      <c r="A198" s="44" t="s">
        <v>151</v>
      </c>
      <c r="B198" s="24" t="s">
        <v>112</v>
      </c>
      <c r="C198" s="24" t="s">
        <v>132</v>
      </c>
      <c r="D198" s="54" t="s">
        <v>610</v>
      </c>
      <c r="E198" s="24" t="s">
        <v>121</v>
      </c>
      <c r="F198" s="216">
        <f t="shared" si="14"/>
        <v>646</v>
      </c>
      <c r="G198" s="209"/>
      <c r="H198" s="209">
        <f>H199</f>
        <v>646</v>
      </c>
      <c r="I198" s="217">
        <v>646</v>
      </c>
      <c r="J198" s="148">
        <f t="shared" si="11"/>
        <v>100</v>
      </c>
      <c r="K198" s="117">
        <f>K199</f>
        <v>0</v>
      </c>
      <c r="L198" s="119">
        <f t="shared" si="10"/>
        <v>100</v>
      </c>
    </row>
    <row r="199" spans="1:12" ht="62.25" customHeight="1" hidden="1">
      <c r="A199" s="74" t="s">
        <v>152</v>
      </c>
      <c r="B199" s="24" t="s">
        <v>112</v>
      </c>
      <c r="C199" s="24" t="s">
        <v>132</v>
      </c>
      <c r="D199" s="54" t="s">
        <v>610</v>
      </c>
      <c r="E199" s="24" t="s">
        <v>153</v>
      </c>
      <c r="F199" s="216">
        <f t="shared" si="14"/>
        <v>646</v>
      </c>
      <c r="G199" s="209"/>
      <c r="H199" s="209">
        <v>646</v>
      </c>
      <c r="I199" s="217">
        <v>646</v>
      </c>
      <c r="J199" s="148">
        <f t="shared" si="11"/>
        <v>100</v>
      </c>
      <c r="K199" s="117"/>
      <c r="L199" s="119">
        <f t="shared" si="10"/>
        <v>100</v>
      </c>
    </row>
    <row r="200" spans="1:12" ht="65.25" customHeight="1" hidden="1">
      <c r="A200" s="238" t="s">
        <v>312</v>
      </c>
      <c r="B200" s="239" t="s">
        <v>119</v>
      </c>
      <c r="C200" s="223" t="s">
        <v>113</v>
      </c>
      <c r="D200" s="303" t="s">
        <v>262</v>
      </c>
      <c r="E200" s="223" t="s">
        <v>347</v>
      </c>
      <c r="F200" s="224">
        <f t="shared" si="14"/>
        <v>78.602</v>
      </c>
      <c r="G200" s="240">
        <f aca="true" t="shared" si="15" ref="G200:I201">G201</f>
        <v>78.602</v>
      </c>
      <c r="H200" s="240">
        <f t="shared" si="15"/>
        <v>0</v>
      </c>
      <c r="I200" s="240">
        <f t="shared" si="15"/>
        <v>78.602</v>
      </c>
      <c r="J200" s="225">
        <f t="shared" si="11"/>
        <v>100</v>
      </c>
      <c r="K200" s="85">
        <f>K201+K208</f>
        <v>1.248</v>
      </c>
      <c r="L200" s="119">
        <f t="shared" si="10"/>
        <v>100</v>
      </c>
    </row>
    <row r="201" spans="1:12" s="4" customFormat="1" ht="113.25" customHeight="1" hidden="1">
      <c r="A201" s="38" t="s">
        <v>313</v>
      </c>
      <c r="B201" s="37" t="s">
        <v>119</v>
      </c>
      <c r="C201" s="37" t="s">
        <v>314</v>
      </c>
      <c r="D201" s="34" t="s">
        <v>262</v>
      </c>
      <c r="E201" s="37" t="s">
        <v>347</v>
      </c>
      <c r="F201" s="216">
        <f t="shared" si="14"/>
        <v>78.602</v>
      </c>
      <c r="G201" s="211">
        <f t="shared" si="15"/>
        <v>78.602</v>
      </c>
      <c r="H201" s="211">
        <f t="shared" si="15"/>
        <v>0</v>
      </c>
      <c r="I201" s="209">
        <f t="shared" si="15"/>
        <v>78.602</v>
      </c>
      <c r="J201" s="241">
        <f t="shared" si="11"/>
        <v>100</v>
      </c>
      <c r="K201" s="118">
        <f>K202</f>
        <v>0</v>
      </c>
      <c r="L201" s="119">
        <f t="shared" si="10"/>
        <v>100</v>
      </c>
    </row>
    <row r="202" spans="1:12" s="4" customFormat="1" ht="18.75" customHeight="1" hidden="1">
      <c r="A202" s="38" t="s">
        <v>611</v>
      </c>
      <c r="B202" s="37" t="s">
        <v>119</v>
      </c>
      <c r="C202" s="37" t="s">
        <v>314</v>
      </c>
      <c r="D202" s="34" t="s">
        <v>612</v>
      </c>
      <c r="E202" s="37" t="s">
        <v>347</v>
      </c>
      <c r="F202" s="216">
        <f t="shared" si="14"/>
        <v>78.602</v>
      </c>
      <c r="G202" s="211">
        <f>G204</f>
        <v>78.602</v>
      </c>
      <c r="H202" s="211">
        <f>H204</f>
        <v>0</v>
      </c>
      <c r="I202" s="209">
        <f>I203</f>
        <v>78.602</v>
      </c>
      <c r="J202" s="241">
        <f t="shared" si="11"/>
        <v>100</v>
      </c>
      <c r="K202" s="120">
        <f>K203</f>
        <v>0</v>
      </c>
      <c r="L202" s="119">
        <f t="shared" si="10"/>
        <v>100</v>
      </c>
    </row>
    <row r="203" spans="1:12" s="4" customFormat="1" ht="62.25" customHeight="1" hidden="1">
      <c r="A203" s="38" t="s">
        <v>151</v>
      </c>
      <c r="B203" s="37" t="s">
        <v>119</v>
      </c>
      <c r="C203" s="37" t="s">
        <v>314</v>
      </c>
      <c r="D203" s="34" t="s">
        <v>612</v>
      </c>
      <c r="E203" s="37" t="s">
        <v>121</v>
      </c>
      <c r="F203" s="216">
        <f t="shared" si="14"/>
        <v>78.602</v>
      </c>
      <c r="G203" s="211">
        <f>G204</f>
        <v>78.602</v>
      </c>
      <c r="H203" s="211"/>
      <c r="I203" s="209">
        <f>I204</f>
        <v>78.602</v>
      </c>
      <c r="J203" s="241">
        <f t="shared" si="11"/>
        <v>100</v>
      </c>
      <c r="K203" s="118">
        <f>SUM(K204:K207)</f>
        <v>0</v>
      </c>
      <c r="L203" s="119">
        <f t="shared" si="10"/>
        <v>100</v>
      </c>
    </row>
    <row r="204" spans="1:12" s="4" customFormat="1" ht="110.25" customHeight="1" hidden="1">
      <c r="A204" s="33" t="s">
        <v>152</v>
      </c>
      <c r="B204" s="37" t="s">
        <v>119</v>
      </c>
      <c r="C204" s="37" t="s">
        <v>314</v>
      </c>
      <c r="D204" s="34" t="s">
        <v>612</v>
      </c>
      <c r="E204" s="37" t="s">
        <v>153</v>
      </c>
      <c r="F204" s="216">
        <f t="shared" si="14"/>
        <v>78.602</v>
      </c>
      <c r="G204" s="211">
        <v>78.602</v>
      </c>
      <c r="H204" s="211"/>
      <c r="I204" s="209">
        <v>78.602</v>
      </c>
      <c r="J204" s="241">
        <f t="shared" si="11"/>
        <v>100</v>
      </c>
      <c r="K204" s="118"/>
      <c r="L204" s="119">
        <f t="shared" si="10"/>
        <v>100</v>
      </c>
    </row>
    <row r="205" spans="1:12" s="4" customFormat="1" ht="24" customHeight="1" hidden="1">
      <c r="A205" s="222" t="s">
        <v>316</v>
      </c>
      <c r="B205" s="223" t="s">
        <v>123</v>
      </c>
      <c r="C205" s="223" t="s">
        <v>113</v>
      </c>
      <c r="D205" s="303" t="s">
        <v>262</v>
      </c>
      <c r="E205" s="223" t="s">
        <v>347</v>
      </c>
      <c r="F205" s="224">
        <f>F206+F210+F221</f>
        <v>25440.03601</v>
      </c>
      <c r="G205" s="224">
        <f>G206+G210+G221</f>
        <v>22163.62501</v>
      </c>
      <c r="H205" s="224">
        <f>H206+H210+H221</f>
        <v>3276.411</v>
      </c>
      <c r="I205" s="224">
        <f>I206+I210+I221</f>
        <v>14914.1739</v>
      </c>
      <c r="J205" s="215">
        <f t="shared" si="11"/>
        <v>58.62481442297298</v>
      </c>
      <c r="K205" s="118"/>
      <c r="L205" s="119">
        <f t="shared" si="10"/>
        <v>58.62481442297298</v>
      </c>
    </row>
    <row r="206" spans="1:12" s="4" customFormat="1" ht="25.5" customHeight="1" hidden="1">
      <c r="A206" s="51" t="s">
        <v>193</v>
      </c>
      <c r="B206" s="45" t="s">
        <v>123</v>
      </c>
      <c r="C206" s="45" t="s">
        <v>326</v>
      </c>
      <c r="D206" s="80" t="s">
        <v>262</v>
      </c>
      <c r="E206" s="45" t="s">
        <v>347</v>
      </c>
      <c r="F206" s="218">
        <f t="shared" si="13"/>
        <v>273.188</v>
      </c>
      <c r="G206" s="219"/>
      <c r="H206" s="219">
        <f>H207</f>
        <v>273.188</v>
      </c>
      <c r="I206" s="219">
        <v>0</v>
      </c>
      <c r="J206" s="242">
        <f t="shared" si="11"/>
        <v>0</v>
      </c>
      <c r="K206" s="118"/>
      <c r="L206" s="119">
        <f t="shared" si="10"/>
        <v>0</v>
      </c>
    </row>
    <row r="207" spans="1:14" s="36" customFormat="1" ht="54.75" customHeight="1">
      <c r="A207" s="44" t="s">
        <v>572</v>
      </c>
      <c r="B207" s="24" t="s">
        <v>123</v>
      </c>
      <c r="C207" s="24" t="s">
        <v>326</v>
      </c>
      <c r="D207" s="54" t="s">
        <v>36</v>
      </c>
      <c r="E207" s="24" t="s">
        <v>347</v>
      </c>
      <c r="F207" s="216">
        <f t="shared" si="13"/>
        <v>273.188</v>
      </c>
      <c r="G207" s="209"/>
      <c r="H207" s="209">
        <f>H208</f>
        <v>273.188</v>
      </c>
      <c r="I207" s="209">
        <v>0</v>
      </c>
      <c r="J207" s="241">
        <f t="shared" si="11"/>
        <v>0</v>
      </c>
      <c r="K207" s="118"/>
      <c r="L207" s="119">
        <f aca="true" t="shared" si="16" ref="L207:L270">I207/F207*100</f>
        <v>0</v>
      </c>
      <c r="M207" s="166"/>
      <c r="N207" s="166"/>
    </row>
    <row r="208" spans="1:12" s="30" customFormat="1" ht="38.25" customHeight="1">
      <c r="A208" s="44" t="s">
        <v>151</v>
      </c>
      <c r="B208" s="24" t="s">
        <v>123</v>
      </c>
      <c r="C208" s="24" t="s">
        <v>326</v>
      </c>
      <c r="D208" s="54" t="s">
        <v>36</v>
      </c>
      <c r="E208" s="24" t="s">
        <v>121</v>
      </c>
      <c r="F208" s="216">
        <f t="shared" si="13"/>
        <v>273.188</v>
      </c>
      <c r="G208" s="209"/>
      <c r="H208" s="209">
        <f>H209</f>
        <v>273.188</v>
      </c>
      <c r="I208" s="209">
        <v>0</v>
      </c>
      <c r="J208" s="241">
        <f aca="true" t="shared" si="17" ref="J208:J271">I208/F208*100</f>
        <v>0</v>
      </c>
      <c r="K208" s="120">
        <f>K209+K211</f>
        <v>1.248</v>
      </c>
      <c r="L208" s="121">
        <f t="shared" si="16"/>
        <v>0</v>
      </c>
    </row>
    <row r="209" spans="1:12" s="4" customFormat="1" ht="17.25" customHeight="1">
      <c r="A209" s="74" t="s">
        <v>152</v>
      </c>
      <c r="B209" s="24" t="s">
        <v>123</v>
      </c>
      <c r="C209" s="24" t="s">
        <v>326</v>
      </c>
      <c r="D209" s="54" t="s">
        <v>36</v>
      </c>
      <c r="E209" s="24" t="s">
        <v>153</v>
      </c>
      <c r="F209" s="216">
        <f t="shared" si="13"/>
        <v>273.188</v>
      </c>
      <c r="G209" s="209"/>
      <c r="H209" s="209">
        <v>273.188</v>
      </c>
      <c r="I209" s="209">
        <v>0</v>
      </c>
      <c r="J209" s="241">
        <f t="shared" si="17"/>
        <v>0</v>
      </c>
      <c r="K209" s="118">
        <f>K210</f>
        <v>1.248</v>
      </c>
      <c r="L209" s="119">
        <f t="shared" si="16"/>
        <v>0</v>
      </c>
    </row>
    <row r="210" spans="1:12" s="4" customFormat="1" ht="33.75" customHeight="1">
      <c r="A210" s="51" t="s">
        <v>354</v>
      </c>
      <c r="B210" s="45" t="s">
        <v>123</v>
      </c>
      <c r="C210" s="45" t="s">
        <v>317</v>
      </c>
      <c r="D210" s="80" t="s">
        <v>262</v>
      </c>
      <c r="E210" s="45" t="s">
        <v>347</v>
      </c>
      <c r="F210" s="218">
        <f>F211+F218</f>
        <v>1911.7439</v>
      </c>
      <c r="G210" s="218">
        <f>G211+G218</f>
        <v>1908.5209</v>
      </c>
      <c r="H210" s="218">
        <f>H211+H218</f>
        <v>3.223</v>
      </c>
      <c r="I210" s="218">
        <f>I211+I218</f>
        <v>1908.4959000000001</v>
      </c>
      <c r="J210" s="242">
        <f t="shared" si="17"/>
        <v>99.83010276637995</v>
      </c>
      <c r="K210" s="123">
        <v>1.248</v>
      </c>
      <c r="L210" s="119">
        <f t="shared" si="16"/>
        <v>99.83010276637995</v>
      </c>
    </row>
    <row r="211" spans="1:12" s="4" customFormat="1" ht="88.5" customHeight="1">
      <c r="A211" s="51" t="s">
        <v>420</v>
      </c>
      <c r="B211" s="45" t="s">
        <v>123</v>
      </c>
      <c r="C211" s="45" t="s">
        <v>317</v>
      </c>
      <c r="D211" s="80" t="s">
        <v>405</v>
      </c>
      <c r="E211" s="45" t="s">
        <v>347</v>
      </c>
      <c r="F211" s="218">
        <f>F212+F216</f>
        <v>1908.5209</v>
      </c>
      <c r="G211" s="218">
        <f>G212+G216</f>
        <v>1908.5209</v>
      </c>
      <c r="H211" s="218">
        <f>H212+H216</f>
        <v>0</v>
      </c>
      <c r="I211" s="218">
        <f>I212+I216</f>
        <v>1908.4959000000001</v>
      </c>
      <c r="J211" s="242">
        <f t="shared" si="17"/>
        <v>99.99869008508108</v>
      </c>
      <c r="K211" s="118">
        <f>K212</f>
        <v>0</v>
      </c>
      <c r="L211" s="119">
        <f t="shared" si="16"/>
        <v>99.99869008508108</v>
      </c>
    </row>
    <row r="212" spans="1:12" s="4" customFormat="1" ht="30" customHeight="1">
      <c r="A212" s="44" t="s">
        <v>355</v>
      </c>
      <c r="B212" s="24" t="s">
        <v>123</v>
      </c>
      <c r="C212" s="24" t="s">
        <v>317</v>
      </c>
      <c r="D212" s="54" t="s">
        <v>421</v>
      </c>
      <c r="E212" s="24" t="s">
        <v>347</v>
      </c>
      <c r="F212" s="216">
        <f t="shared" si="13"/>
        <v>1605.6</v>
      </c>
      <c r="G212" s="209">
        <f>G213</f>
        <v>1605.6</v>
      </c>
      <c r="H212" s="209">
        <f>H213</f>
        <v>0</v>
      </c>
      <c r="I212" s="209">
        <f>I213</f>
        <v>1605.575</v>
      </c>
      <c r="J212" s="241">
        <f t="shared" si="17"/>
        <v>99.99844294967615</v>
      </c>
      <c r="K212" s="118">
        <v>0</v>
      </c>
      <c r="L212" s="119">
        <f t="shared" si="16"/>
        <v>99.99844294967615</v>
      </c>
    </row>
    <row r="213" spans="1:12" s="4" customFormat="1" ht="60" customHeight="1">
      <c r="A213" s="44" t="s">
        <v>37</v>
      </c>
      <c r="B213" s="24" t="s">
        <v>123</v>
      </c>
      <c r="C213" s="24" t="s">
        <v>317</v>
      </c>
      <c r="D213" s="54" t="s">
        <v>421</v>
      </c>
      <c r="E213" s="24" t="s">
        <v>347</v>
      </c>
      <c r="F213" s="216">
        <f t="shared" si="13"/>
        <v>1605.6</v>
      </c>
      <c r="G213" s="209">
        <f>G214</f>
        <v>1605.6</v>
      </c>
      <c r="H213" s="209">
        <f>H215</f>
        <v>0</v>
      </c>
      <c r="I213" s="209">
        <f>I214</f>
        <v>1605.575</v>
      </c>
      <c r="J213" s="241">
        <f t="shared" si="17"/>
        <v>99.99844294967615</v>
      </c>
      <c r="K213" s="60"/>
      <c r="L213" s="160">
        <f aca="true" t="shared" si="18" ref="L213:L218">I213/F213*100</f>
        <v>99.99844294967615</v>
      </c>
    </row>
    <row r="214" spans="1:12" s="4" customFormat="1" ht="24" customHeight="1">
      <c r="A214" s="44" t="s">
        <v>156</v>
      </c>
      <c r="B214" s="24" t="s">
        <v>123</v>
      </c>
      <c r="C214" s="24" t="s">
        <v>317</v>
      </c>
      <c r="D214" s="54" t="s">
        <v>421</v>
      </c>
      <c r="E214" s="24" t="s">
        <v>157</v>
      </c>
      <c r="F214" s="216">
        <f t="shared" si="13"/>
        <v>1605.6</v>
      </c>
      <c r="G214" s="209">
        <f>G215</f>
        <v>1605.6</v>
      </c>
      <c r="H214" s="209"/>
      <c r="I214" s="209">
        <f>I215</f>
        <v>1605.575</v>
      </c>
      <c r="J214" s="241">
        <f t="shared" si="17"/>
        <v>99.99844294967615</v>
      </c>
      <c r="K214" s="120">
        <f>K215+K217</f>
        <v>1.248</v>
      </c>
      <c r="L214" s="121">
        <f t="shared" si="18"/>
        <v>99.99844294967615</v>
      </c>
    </row>
    <row r="215" spans="1:12" s="4" customFormat="1" ht="48.75" customHeight="1">
      <c r="A215" s="44" t="s">
        <v>613</v>
      </c>
      <c r="B215" s="24" t="s">
        <v>123</v>
      </c>
      <c r="C215" s="24" t="s">
        <v>317</v>
      </c>
      <c r="D215" s="54" t="s">
        <v>421</v>
      </c>
      <c r="E215" s="24" t="s">
        <v>393</v>
      </c>
      <c r="F215" s="216">
        <f t="shared" si="13"/>
        <v>1605.6</v>
      </c>
      <c r="G215" s="209">
        <f>1955+39.3-100-270-18.7</f>
        <v>1605.6</v>
      </c>
      <c r="H215" s="209"/>
      <c r="I215" s="209">
        <v>1605.575</v>
      </c>
      <c r="J215" s="241">
        <f t="shared" si="17"/>
        <v>99.99844294967615</v>
      </c>
      <c r="K215" s="118">
        <f>K216</f>
        <v>1.248</v>
      </c>
      <c r="L215" s="119">
        <f t="shared" si="18"/>
        <v>99.99844294967615</v>
      </c>
    </row>
    <row r="216" spans="1:12" s="4" customFormat="1" ht="18" customHeight="1">
      <c r="A216" s="74" t="s">
        <v>162</v>
      </c>
      <c r="B216" s="24" t="s">
        <v>123</v>
      </c>
      <c r="C216" s="24" t="s">
        <v>317</v>
      </c>
      <c r="D216" s="54" t="s">
        <v>614</v>
      </c>
      <c r="E216" s="24" t="s">
        <v>163</v>
      </c>
      <c r="F216" s="216">
        <f t="shared" si="13"/>
        <v>302.92089999999996</v>
      </c>
      <c r="G216" s="209">
        <f>G217</f>
        <v>302.92089999999996</v>
      </c>
      <c r="H216" s="209"/>
      <c r="I216" s="209">
        <f>I217</f>
        <v>302.9209</v>
      </c>
      <c r="J216" s="241">
        <f t="shared" si="17"/>
        <v>100.00000000000003</v>
      </c>
      <c r="K216" s="123">
        <v>1.248</v>
      </c>
      <c r="L216" s="119">
        <f t="shared" si="18"/>
        <v>100.00000000000003</v>
      </c>
    </row>
    <row r="217" spans="1:12" s="4" customFormat="1" ht="18.75" customHeight="1">
      <c r="A217" s="74" t="s">
        <v>245</v>
      </c>
      <c r="B217" s="24" t="s">
        <v>123</v>
      </c>
      <c r="C217" s="24" t="s">
        <v>317</v>
      </c>
      <c r="D217" s="54" t="s">
        <v>614</v>
      </c>
      <c r="E217" s="24" t="s">
        <v>390</v>
      </c>
      <c r="F217" s="216">
        <f t="shared" si="13"/>
        <v>302.92089999999996</v>
      </c>
      <c r="G217" s="209">
        <f>345-39.3-2.7791</f>
        <v>302.92089999999996</v>
      </c>
      <c r="H217" s="209"/>
      <c r="I217" s="209">
        <v>302.9209</v>
      </c>
      <c r="J217" s="241">
        <f t="shared" si="17"/>
        <v>100.00000000000003</v>
      </c>
      <c r="K217" s="118">
        <f>K218</f>
        <v>0</v>
      </c>
      <c r="L217" s="119">
        <f t="shared" si="18"/>
        <v>100.00000000000003</v>
      </c>
    </row>
    <row r="218" spans="1:12" s="4" customFormat="1" ht="111.75" customHeight="1">
      <c r="A218" s="62" t="s">
        <v>482</v>
      </c>
      <c r="B218" s="45" t="s">
        <v>123</v>
      </c>
      <c r="C218" s="45" t="s">
        <v>317</v>
      </c>
      <c r="D218" s="80" t="s">
        <v>262</v>
      </c>
      <c r="E218" s="45" t="s">
        <v>347</v>
      </c>
      <c r="F218" s="218">
        <f>G218+H218</f>
        <v>3.223</v>
      </c>
      <c r="G218" s="219"/>
      <c r="H218" s="219">
        <f>H219</f>
        <v>3.223</v>
      </c>
      <c r="I218" s="219">
        <v>0</v>
      </c>
      <c r="J218" s="242">
        <f t="shared" si="17"/>
        <v>0</v>
      </c>
      <c r="K218" s="118">
        <v>0</v>
      </c>
      <c r="L218" s="119">
        <f t="shared" si="18"/>
        <v>0</v>
      </c>
    </row>
    <row r="219" spans="1:12" s="4" customFormat="1" ht="41.25" customHeight="1">
      <c r="A219" s="44" t="s">
        <v>151</v>
      </c>
      <c r="B219" s="24" t="s">
        <v>123</v>
      </c>
      <c r="C219" s="24" t="s">
        <v>317</v>
      </c>
      <c r="D219" s="54" t="s">
        <v>501</v>
      </c>
      <c r="E219" s="24" t="s">
        <v>121</v>
      </c>
      <c r="F219" s="216">
        <f>G219+H219</f>
        <v>3.223</v>
      </c>
      <c r="G219" s="209"/>
      <c r="H219" s="209">
        <f>H220</f>
        <v>3.223</v>
      </c>
      <c r="I219" s="209">
        <v>0</v>
      </c>
      <c r="J219" s="241">
        <f t="shared" si="17"/>
        <v>0</v>
      </c>
      <c r="K219" s="118">
        <f>SUM(K220:K221)</f>
        <v>0</v>
      </c>
      <c r="L219" s="119">
        <f t="shared" si="16"/>
        <v>0</v>
      </c>
    </row>
    <row r="220" spans="1:12" s="4" customFormat="1" ht="33.75" customHeight="1">
      <c r="A220" s="74" t="s">
        <v>152</v>
      </c>
      <c r="B220" s="24" t="s">
        <v>123</v>
      </c>
      <c r="C220" s="24" t="s">
        <v>317</v>
      </c>
      <c r="D220" s="54" t="s">
        <v>501</v>
      </c>
      <c r="E220" s="24" t="s">
        <v>153</v>
      </c>
      <c r="F220" s="216">
        <f>G220+H220</f>
        <v>3.223</v>
      </c>
      <c r="G220" s="209"/>
      <c r="H220" s="209">
        <v>3.223</v>
      </c>
      <c r="I220" s="209">
        <v>0</v>
      </c>
      <c r="J220" s="241">
        <f t="shared" si="17"/>
        <v>0</v>
      </c>
      <c r="K220" s="118"/>
      <c r="L220" s="119">
        <f t="shared" si="16"/>
        <v>0</v>
      </c>
    </row>
    <row r="221" spans="1:12" s="4" customFormat="1" ht="23.25" customHeight="1">
      <c r="A221" s="51" t="s">
        <v>318</v>
      </c>
      <c r="B221" s="45" t="s">
        <v>123</v>
      </c>
      <c r="C221" s="45" t="s">
        <v>314</v>
      </c>
      <c r="D221" s="80" t="s">
        <v>262</v>
      </c>
      <c r="E221" s="45" t="s">
        <v>347</v>
      </c>
      <c r="F221" s="218">
        <f>F222</f>
        <v>23255.10411</v>
      </c>
      <c r="G221" s="218">
        <f>G222</f>
        <v>20255.10411</v>
      </c>
      <c r="H221" s="218">
        <f>H222</f>
        <v>3000</v>
      </c>
      <c r="I221" s="218">
        <f>I222</f>
        <v>13005.678</v>
      </c>
      <c r="J221" s="241">
        <f t="shared" si="17"/>
        <v>55.92612244813554</v>
      </c>
      <c r="K221" s="118"/>
      <c r="L221" s="121">
        <f t="shared" si="16"/>
        <v>55.92612244813554</v>
      </c>
    </row>
    <row r="222" spans="1:12" s="4" customFormat="1" ht="90.75" customHeight="1">
      <c r="A222" s="51" t="s">
        <v>420</v>
      </c>
      <c r="B222" s="45" t="s">
        <v>123</v>
      </c>
      <c r="C222" s="45" t="s">
        <v>314</v>
      </c>
      <c r="D222" s="80" t="s">
        <v>405</v>
      </c>
      <c r="E222" s="45" t="s">
        <v>347</v>
      </c>
      <c r="F222" s="218">
        <f>F223+F226+F230</f>
        <v>23255.10411</v>
      </c>
      <c r="G222" s="218">
        <f>G223+G226+G230</f>
        <v>20255.10411</v>
      </c>
      <c r="H222" s="218">
        <f>H223+H226+H230</f>
        <v>3000</v>
      </c>
      <c r="I222" s="218">
        <f>I223+I226+I230</f>
        <v>13005.678</v>
      </c>
      <c r="J222" s="242">
        <f>I222/F222*100</f>
        <v>55.92612244813554</v>
      </c>
      <c r="K222" s="120">
        <f>K223</f>
        <v>48134.854999999996</v>
      </c>
      <c r="L222" s="119">
        <f t="shared" si="16"/>
        <v>55.92612244813554</v>
      </c>
    </row>
    <row r="223" spans="1:12" s="4" customFormat="1" ht="58.5" customHeight="1">
      <c r="A223" s="44" t="s">
        <v>319</v>
      </c>
      <c r="B223" s="24" t="s">
        <v>123</v>
      </c>
      <c r="C223" s="24" t="s">
        <v>314</v>
      </c>
      <c r="D223" s="54" t="s">
        <v>423</v>
      </c>
      <c r="E223" s="24" t="s">
        <v>347</v>
      </c>
      <c r="F223" s="216">
        <f aca="true" t="shared" si="19" ref="F223:F241">G223</f>
        <v>10432.247080000001</v>
      </c>
      <c r="G223" s="209">
        <f>G224</f>
        <v>10432.247080000001</v>
      </c>
      <c r="H223" s="209">
        <f>H225</f>
        <v>0</v>
      </c>
      <c r="I223" s="209">
        <f>I224</f>
        <v>196.455</v>
      </c>
      <c r="J223" s="241">
        <f t="shared" si="17"/>
        <v>1.8831513334900807</v>
      </c>
      <c r="K223" s="118">
        <f>K224</f>
        <v>48134.854999999996</v>
      </c>
      <c r="L223" s="121">
        <f t="shared" si="16"/>
        <v>1.8831513334900807</v>
      </c>
    </row>
    <row r="224" spans="1:12" s="4" customFormat="1" ht="36" customHeight="1">
      <c r="A224" s="44" t="s">
        <v>151</v>
      </c>
      <c r="B224" s="24" t="s">
        <v>123</v>
      </c>
      <c r="C224" s="24" t="s">
        <v>314</v>
      </c>
      <c r="D224" s="54" t="s">
        <v>423</v>
      </c>
      <c r="E224" s="24" t="s">
        <v>121</v>
      </c>
      <c r="F224" s="216">
        <f t="shared" si="19"/>
        <v>10432.247080000001</v>
      </c>
      <c r="G224" s="209">
        <f>G225</f>
        <v>10432.247080000001</v>
      </c>
      <c r="H224" s="209"/>
      <c r="I224" s="209">
        <f>I225</f>
        <v>196.455</v>
      </c>
      <c r="J224" s="241">
        <f t="shared" si="17"/>
        <v>1.8831513334900807</v>
      </c>
      <c r="K224" s="125">
        <f>38337+1881+7916.855</f>
        <v>48134.854999999996</v>
      </c>
      <c r="L224" s="119">
        <f t="shared" si="16"/>
        <v>1.8831513334900807</v>
      </c>
    </row>
    <row r="225" spans="1:12" s="4" customFormat="1" ht="48" customHeight="1">
      <c r="A225" s="74" t="s">
        <v>152</v>
      </c>
      <c r="B225" s="24" t="s">
        <v>123</v>
      </c>
      <c r="C225" s="24" t="s">
        <v>314</v>
      </c>
      <c r="D225" s="54" t="s">
        <v>423</v>
      </c>
      <c r="E225" s="24" t="s">
        <v>153</v>
      </c>
      <c r="F225" s="216">
        <f t="shared" si="19"/>
        <v>10432.247080000001</v>
      </c>
      <c r="G225" s="209">
        <f>4876+223.946+5646.60411-30.30303-284</f>
        <v>10432.247080000001</v>
      </c>
      <c r="H225" s="209"/>
      <c r="I225" s="209">
        <v>196.455</v>
      </c>
      <c r="J225" s="241">
        <f t="shared" si="17"/>
        <v>1.8831513334900807</v>
      </c>
      <c r="K225" s="126">
        <f>K253</f>
        <v>146954.95548</v>
      </c>
      <c r="L225" s="119">
        <f t="shared" si="16"/>
        <v>1.8831513334900807</v>
      </c>
    </row>
    <row r="226" spans="1:12" s="47" customFormat="1" ht="17.25" customHeight="1">
      <c r="A226" s="74" t="s">
        <v>162</v>
      </c>
      <c r="B226" s="24" t="s">
        <v>123</v>
      </c>
      <c r="C226" s="24" t="s">
        <v>314</v>
      </c>
      <c r="D226" s="54" t="s">
        <v>422</v>
      </c>
      <c r="E226" s="24" t="s">
        <v>163</v>
      </c>
      <c r="F226" s="216">
        <f t="shared" si="19"/>
        <v>9711.854</v>
      </c>
      <c r="G226" s="209">
        <f>G227+G228+G229</f>
        <v>9711.854</v>
      </c>
      <c r="H226" s="209"/>
      <c r="I226" s="209">
        <f>I227</f>
        <v>9711.854</v>
      </c>
      <c r="J226" s="241">
        <f t="shared" si="17"/>
        <v>100</v>
      </c>
      <c r="K226" s="120">
        <f>K227+K234+K237+K241+K244</f>
        <v>0</v>
      </c>
      <c r="L226" s="121">
        <f t="shared" si="16"/>
        <v>100</v>
      </c>
    </row>
    <row r="227" spans="1:12" s="4" customFormat="1" ht="21" customHeight="1">
      <c r="A227" s="74" t="s">
        <v>245</v>
      </c>
      <c r="B227" s="24" t="s">
        <v>123</v>
      </c>
      <c r="C227" s="24" t="s">
        <v>314</v>
      </c>
      <c r="D227" s="54" t="s">
        <v>422</v>
      </c>
      <c r="E227" s="24" t="s">
        <v>390</v>
      </c>
      <c r="F227" s="216">
        <f t="shared" si="19"/>
        <v>9711.854</v>
      </c>
      <c r="G227" s="209">
        <f>9554-223.946+901.8-520</f>
        <v>9711.854</v>
      </c>
      <c r="H227" s="243"/>
      <c r="I227" s="209">
        <v>9711.854</v>
      </c>
      <c r="J227" s="241">
        <f t="shared" si="17"/>
        <v>100</v>
      </c>
      <c r="K227" s="118">
        <f>K228</f>
        <v>0</v>
      </c>
      <c r="L227" s="119">
        <f t="shared" si="16"/>
        <v>100</v>
      </c>
    </row>
    <row r="228" spans="1:12" s="4" customFormat="1" ht="34.5" customHeight="1" hidden="1">
      <c r="A228" s="74" t="s">
        <v>439</v>
      </c>
      <c r="B228" s="24" t="s">
        <v>123</v>
      </c>
      <c r="C228" s="24" t="s">
        <v>314</v>
      </c>
      <c r="D228" s="54" t="s">
        <v>440</v>
      </c>
      <c r="E228" s="24" t="s">
        <v>390</v>
      </c>
      <c r="F228" s="216">
        <f>G228</f>
        <v>0</v>
      </c>
      <c r="G228" s="209"/>
      <c r="H228" s="243"/>
      <c r="I228" s="209">
        <v>0</v>
      </c>
      <c r="J228" s="241" t="e">
        <f t="shared" si="17"/>
        <v>#DIV/0!</v>
      </c>
      <c r="K228" s="118">
        <f>K230</f>
        <v>0</v>
      </c>
      <c r="L228" s="119" t="e">
        <f t="shared" si="16"/>
        <v>#DIV/0!</v>
      </c>
    </row>
    <row r="229" spans="1:12" s="4" customFormat="1" ht="49.5" customHeight="1" hidden="1">
      <c r="A229" s="74" t="s">
        <v>443</v>
      </c>
      <c r="B229" s="24" t="s">
        <v>123</v>
      </c>
      <c r="C229" s="24" t="s">
        <v>314</v>
      </c>
      <c r="D229" s="54" t="s">
        <v>444</v>
      </c>
      <c r="E229" s="24" t="s">
        <v>390</v>
      </c>
      <c r="F229" s="216">
        <f>G229</f>
        <v>0</v>
      </c>
      <c r="G229" s="209"/>
      <c r="H229" s="243"/>
      <c r="I229" s="209">
        <v>0</v>
      </c>
      <c r="J229" s="241" t="e">
        <f t="shared" si="17"/>
        <v>#DIV/0!</v>
      </c>
      <c r="K229" s="118"/>
      <c r="L229" s="119" t="e">
        <f t="shared" si="16"/>
        <v>#DIV/0!</v>
      </c>
    </row>
    <row r="230" spans="1:12" s="4" customFormat="1" ht="33.75" customHeight="1">
      <c r="A230" s="62" t="s">
        <v>615</v>
      </c>
      <c r="B230" s="45" t="s">
        <v>123</v>
      </c>
      <c r="C230" s="45" t="s">
        <v>314</v>
      </c>
      <c r="D230" s="80" t="s">
        <v>405</v>
      </c>
      <c r="E230" s="45" t="s">
        <v>347</v>
      </c>
      <c r="F230" s="218">
        <f>F231+F233+F235</f>
        <v>3111.00303</v>
      </c>
      <c r="G230" s="218">
        <f>G231+G233+G235</f>
        <v>111.00303</v>
      </c>
      <c r="H230" s="218">
        <f>H231+H233+H235</f>
        <v>3000</v>
      </c>
      <c r="I230" s="218">
        <f>I231+I233+I235</f>
        <v>3097.3689999999997</v>
      </c>
      <c r="J230" s="242">
        <f t="shared" si="17"/>
        <v>99.56174809640092</v>
      </c>
      <c r="K230" s="118"/>
      <c r="L230" s="119">
        <f t="shared" si="16"/>
        <v>99.56174809640092</v>
      </c>
    </row>
    <row r="231" spans="1:12" s="4" customFormat="1" ht="50.25" customHeight="1">
      <c r="A231" s="44" t="s">
        <v>151</v>
      </c>
      <c r="B231" s="24" t="s">
        <v>123</v>
      </c>
      <c r="C231" s="24" t="s">
        <v>314</v>
      </c>
      <c r="D231" s="54" t="s">
        <v>616</v>
      </c>
      <c r="E231" s="24" t="s">
        <v>121</v>
      </c>
      <c r="F231" s="216">
        <f>G231+H231</f>
        <v>3000</v>
      </c>
      <c r="G231" s="209"/>
      <c r="H231" s="209">
        <f>H232</f>
        <v>3000</v>
      </c>
      <c r="I231" s="209">
        <f>I232</f>
        <v>2999.99898</v>
      </c>
      <c r="J231" s="241">
        <f t="shared" si="17"/>
        <v>99.999966</v>
      </c>
      <c r="K231" s="118"/>
      <c r="L231" s="119">
        <f t="shared" si="16"/>
        <v>99.999966</v>
      </c>
    </row>
    <row r="232" spans="1:12" s="4" customFormat="1" ht="48" customHeight="1">
      <c r="A232" s="74" t="s">
        <v>152</v>
      </c>
      <c r="B232" s="24" t="s">
        <v>123</v>
      </c>
      <c r="C232" s="24" t="s">
        <v>314</v>
      </c>
      <c r="D232" s="54" t="s">
        <v>616</v>
      </c>
      <c r="E232" s="24" t="s">
        <v>153</v>
      </c>
      <c r="F232" s="216">
        <f>G232+H232</f>
        <v>3000</v>
      </c>
      <c r="G232" s="209"/>
      <c r="H232" s="209">
        <v>3000</v>
      </c>
      <c r="I232" s="209">
        <v>2999.99898</v>
      </c>
      <c r="J232" s="241">
        <f t="shared" si="17"/>
        <v>99.999966</v>
      </c>
      <c r="K232" s="118"/>
      <c r="L232" s="119">
        <f t="shared" si="16"/>
        <v>99.999966</v>
      </c>
    </row>
    <row r="233" spans="1:12" s="39" customFormat="1" ht="34.5" customHeight="1">
      <c r="A233" s="44" t="s">
        <v>151</v>
      </c>
      <c r="B233" s="24" t="s">
        <v>123</v>
      </c>
      <c r="C233" s="24" t="s">
        <v>314</v>
      </c>
      <c r="D233" s="54" t="s">
        <v>617</v>
      </c>
      <c r="E233" s="24" t="s">
        <v>121</v>
      </c>
      <c r="F233" s="216">
        <f>G233</f>
        <v>30.30303</v>
      </c>
      <c r="G233" s="209">
        <f>G234</f>
        <v>30.30303</v>
      </c>
      <c r="H233" s="209"/>
      <c r="I233" s="209">
        <f>I234</f>
        <v>30.30302</v>
      </c>
      <c r="J233" s="241">
        <f t="shared" si="17"/>
        <v>99.99996699999967</v>
      </c>
      <c r="K233" s="118"/>
      <c r="L233" s="119">
        <f t="shared" si="16"/>
        <v>99.99996699999967</v>
      </c>
    </row>
    <row r="234" spans="1:12" s="4" customFormat="1" ht="33.75" customHeight="1">
      <c r="A234" s="74" t="s">
        <v>152</v>
      </c>
      <c r="B234" s="24" t="s">
        <v>123</v>
      </c>
      <c r="C234" s="24" t="s">
        <v>314</v>
      </c>
      <c r="D234" s="54" t="s">
        <v>617</v>
      </c>
      <c r="E234" s="24" t="s">
        <v>153</v>
      </c>
      <c r="F234" s="216">
        <f>G234</f>
        <v>30.30303</v>
      </c>
      <c r="G234" s="209">
        <v>30.30303</v>
      </c>
      <c r="H234" s="243"/>
      <c r="I234" s="209">
        <v>30.30302</v>
      </c>
      <c r="J234" s="241">
        <f t="shared" si="17"/>
        <v>99.99996699999967</v>
      </c>
      <c r="K234" s="118">
        <f>SUM(K235:K236)</f>
        <v>0</v>
      </c>
      <c r="L234" s="119">
        <f t="shared" si="16"/>
        <v>99.99996699999967</v>
      </c>
    </row>
    <row r="235" spans="1:12" s="43" customFormat="1" ht="48" customHeight="1">
      <c r="A235" s="62" t="s">
        <v>115</v>
      </c>
      <c r="B235" s="45" t="s">
        <v>123</v>
      </c>
      <c r="C235" s="45" t="s">
        <v>314</v>
      </c>
      <c r="D235" s="80" t="s">
        <v>7</v>
      </c>
      <c r="E235" s="45" t="s">
        <v>347</v>
      </c>
      <c r="F235" s="218">
        <f t="shared" si="19"/>
        <v>80.7</v>
      </c>
      <c r="G235" s="219">
        <f>G236</f>
        <v>80.7</v>
      </c>
      <c r="H235" s="244"/>
      <c r="I235" s="219">
        <f>I236</f>
        <v>67.067</v>
      </c>
      <c r="J235" s="242">
        <f t="shared" si="17"/>
        <v>83.10656753407682</v>
      </c>
      <c r="K235" s="118"/>
      <c r="L235" s="121">
        <f t="shared" si="16"/>
        <v>83.10656753407682</v>
      </c>
    </row>
    <row r="236" spans="1:12" s="4" customFormat="1" ht="34.5" customHeight="1">
      <c r="A236" s="74" t="s">
        <v>116</v>
      </c>
      <c r="B236" s="24" t="s">
        <v>123</v>
      </c>
      <c r="C236" s="24" t="s">
        <v>314</v>
      </c>
      <c r="D236" s="54" t="s">
        <v>8</v>
      </c>
      <c r="E236" s="24" t="s">
        <v>347</v>
      </c>
      <c r="F236" s="216">
        <f t="shared" si="19"/>
        <v>80.7</v>
      </c>
      <c r="G236" s="209">
        <f>G237</f>
        <v>80.7</v>
      </c>
      <c r="H236" s="243"/>
      <c r="I236" s="209">
        <f>I237</f>
        <v>67.067</v>
      </c>
      <c r="J236" s="241">
        <f t="shared" si="17"/>
        <v>83.10656753407682</v>
      </c>
      <c r="K236" s="118"/>
      <c r="L236" s="119">
        <f t="shared" si="16"/>
        <v>83.10656753407682</v>
      </c>
    </row>
    <row r="237" spans="1:12" s="4" customFormat="1" ht="30.75" customHeight="1">
      <c r="A237" s="44" t="s">
        <v>542</v>
      </c>
      <c r="B237" s="24" t="s">
        <v>123</v>
      </c>
      <c r="C237" s="24" t="s">
        <v>314</v>
      </c>
      <c r="D237" s="32" t="s">
        <v>541</v>
      </c>
      <c r="E237" s="24" t="s">
        <v>347</v>
      </c>
      <c r="F237" s="216">
        <f t="shared" si="19"/>
        <v>80.7</v>
      </c>
      <c r="G237" s="209">
        <f>G238+G240</f>
        <v>80.7</v>
      </c>
      <c r="H237" s="243"/>
      <c r="I237" s="209">
        <f>I240</f>
        <v>67.067</v>
      </c>
      <c r="J237" s="241">
        <f t="shared" si="17"/>
        <v>83.10656753407682</v>
      </c>
      <c r="K237" s="118">
        <f>K238+K241</f>
        <v>0</v>
      </c>
      <c r="L237" s="119">
        <f t="shared" si="16"/>
        <v>83.10656753407682</v>
      </c>
    </row>
    <row r="238" spans="1:12" s="4" customFormat="1" ht="34.5" customHeight="1" hidden="1">
      <c r="A238" s="44" t="s">
        <v>151</v>
      </c>
      <c r="B238" s="24" t="s">
        <v>123</v>
      </c>
      <c r="C238" s="24" t="s">
        <v>314</v>
      </c>
      <c r="D238" s="32" t="s">
        <v>541</v>
      </c>
      <c r="E238" s="24" t="s">
        <v>121</v>
      </c>
      <c r="F238" s="216">
        <f t="shared" si="19"/>
        <v>0</v>
      </c>
      <c r="G238" s="209">
        <f>G239</f>
        <v>0</v>
      </c>
      <c r="H238" s="243"/>
      <c r="I238" s="209">
        <v>0</v>
      </c>
      <c r="J238" s="241" t="e">
        <f t="shared" si="17"/>
        <v>#DIV/0!</v>
      </c>
      <c r="K238" s="118">
        <f>K240</f>
        <v>0</v>
      </c>
      <c r="L238" s="119" t="e">
        <f t="shared" si="16"/>
        <v>#DIV/0!</v>
      </c>
    </row>
    <row r="239" spans="1:12" s="4" customFormat="1" ht="32.25" customHeight="1" hidden="1">
      <c r="A239" s="74" t="s">
        <v>152</v>
      </c>
      <c r="B239" s="24" t="s">
        <v>123</v>
      </c>
      <c r="C239" s="24" t="s">
        <v>314</v>
      </c>
      <c r="D239" s="32" t="s">
        <v>541</v>
      </c>
      <c r="E239" s="24" t="s">
        <v>153</v>
      </c>
      <c r="F239" s="216">
        <f t="shared" si="19"/>
        <v>0</v>
      </c>
      <c r="G239" s="209">
        <v>0</v>
      </c>
      <c r="H239" s="243"/>
      <c r="I239" s="209">
        <v>0</v>
      </c>
      <c r="J239" s="241" t="e">
        <f t="shared" si="17"/>
        <v>#DIV/0!</v>
      </c>
      <c r="K239" s="118"/>
      <c r="L239" s="119" t="e">
        <f t="shared" si="16"/>
        <v>#DIV/0!</v>
      </c>
    </row>
    <row r="240" spans="1:12" s="4" customFormat="1" ht="15.75" customHeight="1">
      <c r="A240" s="44" t="s">
        <v>156</v>
      </c>
      <c r="B240" s="24" t="s">
        <v>123</v>
      </c>
      <c r="C240" s="24" t="s">
        <v>314</v>
      </c>
      <c r="D240" s="32" t="s">
        <v>541</v>
      </c>
      <c r="E240" s="24" t="s">
        <v>157</v>
      </c>
      <c r="F240" s="216">
        <f t="shared" si="19"/>
        <v>80.7</v>
      </c>
      <c r="G240" s="209">
        <f>G241</f>
        <v>80.7</v>
      </c>
      <c r="H240" s="243"/>
      <c r="I240" s="209">
        <f>I241</f>
        <v>67.067</v>
      </c>
      <c r="J240" s="241">
        <f t="shared" si="17"/>
        <v>83.10656753407682</v>
      </c>
      <c r="K240" s="118"/>
      <c r="L240" s="119">
        <f t="shared" si="16"/>
        <v>83.10656753407682</v>
      </c>
    </row>
    <row r="241" spans="1:12" s="43" customFormat="1" ht="18.75" customHeight="1">
      <c r="A241" s="221" t="s">
        <v>154</v>
      </c>
      <c r="B241" s="24" t="s">
        <v>123</v>
      </c>
      <c r="C241" s="24" t="s">
        <v>314</v>
      </c>
      <c r="D241" s="32" t="s">
        <v>541</v>
      </c>
      <c r="E241" s="24" t="s">
        <v>155</v>
      </c>
      <c r="F241" s="216">
        <f t="shared" si="19"/>
        <v>80.7</v>
      </c>
      <c r="G241" s="209">
        <f>60.7+20</f>
        <v>80.7</v>
      </c>
      <c r="H241" s="243"/>
      <c r="I241" s="209">
        <v>67.067</v>
      </c>
      <c r="J241" s="241">
        <f t="shared" si="17"/>
        <v>83.10656753407682</v>
      </c>
      <c r="K241" s="118">
        <f>K243</f>
        <v>0</v>
      </c>
      <c r="L241" s="121">
        <f t="shared" si="16"/>
        <v>83.10656753407682</v>
      </c>
    </row>
    <row r="242" spans="1:12" s="4" customFormat="1" ht="28.5" customHeight="1" hidden="1">
      <c r="A242" s="62" t="s">
        <v>298</v>
      </c>
      <c r="B242" s="45" t="s">
        <v>123</v>
      </c>
      <c r="C242" s="45" t="s">
        <v>320</v>
      </c>
      <c r="D242" s="80" t="s">
        <v>262</v>
      </c>
      <c r="E242" s="45" t="s">
        <v>347</v>
      </c>
      <c r="F242" s="218">
        <f>G242+H242</f>
        <v>0</v>
      </c>
      <c r="G242" s="219">
        <f>G243</f>
        <v>0</v>
      </c>
      <c r="H242" s="245">
        <f>H243</f>
        <v>0</v>
      </c>
      <c r="I242" s="209">
        <v>0</v>
      </c>
      <c r="J242" s="241" t="e">
        <f t="shared" si="17"/>
        <v>#DIV/0!</v>
      </c>
      <c r="K242" s="118"/>
      <c r="L242" s="119" t="e">
        <f t="shared" si="16"/>
        <v>#DIV/0!</v>
      </c>
    </row>
    <row r="243" spans="1:12" s="4" customFormat="1" ht="34.5" customHeight="1" hidden="1">
      <c r="A243" s="51" t="s">
        <v>402</v>
      </c>
      <c r="B243" s="45" t="s">
        <v>123</v>
      </c>
      <c r="C243" s="45" t="s">
        <v>320</v>
      </c>
      <c r="D243" s="80" t="s">
        <v>403</v>
      </c>
      <c r="E243" s="45" t="s">
        <v>347</v>
      </c>
      <c r="F243" s="218">
        <f t="shared" si="13"/>
        <v>0</v>
      </c>
      <c r="G243" s="219">
        <f>G244</f>
        <v>0</v>
      </c>
      <c r="H243" s="219">
        <f>H244</f>
        <v>0</v>
      </c>
      <c r="I243" s="209">
        <v>0</v>
      </c>
      <c r="J243" s="241" t="e">
        <f t="shared" si="17"/>
        <v>#DIV/0!</v>
      </c>
      <c r="K243" s="118"/>
      <c r="L243" s="119" t="e">
        <f t="shared" si="16"/>
        <v>#DIV/0!</v>
      </c>
    </row>
    <row r="244" spans="1:12" s="4" customFormat="1" ht="34.5" customHeight="1" hidden="1">
      <c r="A244" s="44" t="s">
        <v>322</v>
      </c>
      <c r="B244" s="24" t="s">
        <v>123</v>
      </c>
      <c r="C244" s="24" t="s">
        <v>320</v>
      </c>
      <c r="D244" s="54" t="s">
        <v>404</v>
      </c>
      <c r="E244" s="24" t="s">
        <v>347</v>
      </c>
      <c r="F244" s="216">
        <f t="shared" si="13"/>
        <v>0</v>
      </c>
      <c r="G244" s="209">
        <f>G245</f>
        <v>0</v>
      </c>
      <c r="H244" s="209">
        <f>H246</f>
        <v>0</v>
      </c>
      <c r="I244" s="209">
        <v>0</v>
      </c>
      <c r="J244" s="241" t="e">
        <f t="shared" si="17"/>
        <v>#DIV/0!</v>
      </c>
      <c r="K244" s="118">
        <f>K245+K248+K250</f>
        <v>0</v>
      </c>
      <c r="L244" s="119" t="e">
        <f t="shared" si="16"/>
        <v>#DIV/0!</v>
      </c>
    </row>
    <row r="245" spans="1:12" s="4" customFormat="1" ht="51" customHeight="1" hidden="1">
      <c r="A245" s="44" t="s">
        <v>156</v>
      </c>
      <c r="B245" s="24" t="s">
        <v>123</v>
      </c>
      <c r="C245" s="24" t="s">
        <v>320</v>
      </c>
      <c r="D245" s="54" t="s">
        <v>404</v>
      </c>
      <c r="E245" s="24" t="s">
        <v>157</v>
      </c>
      <c r="F245" s="216">
        <f t="shared" si="13"/>
        <v>0</v>
      </c>
      <c r="G245" s="209">
        <f>G246</f>
        <v>0</v>
      </c>
      <c r="H245" s="209"/>
      <c r="I245" s="209">
        <v>0</v>
      </c>
      <c r="J245" s="241" t="e">
        <f t="shared" si="17"/>
        <v>#DIV/0!</v>
      </c>
      <c r="K245" s="118"/>
      <c r="L245" s="119" t="e">
        <f t="shared" si="16"/>
        <v>#DIV/0!</v>
      </c>
    </row>
    <row r="246" spans="1:14" s="36" customFormat="1" ht="20.25" customHeight="1" hidden="1">
      <c r="A246" s="44" t="s">
        <v>323</v>
      </c>
      <c r="B246" s="24" t="s">
        <v>123</v>
      </c>
      <c r="C246" s="24" t="s">
        <v>320</v>
      </c>
      <c r="D246" s="54" t="s">
        <v>404</v>
      </c>
      <c r="E246" s="24" t="s">
        <v>324</v>
      </c>
      <c r="F246" s="216">
        <f t="shared" si="13"/>
        <v>0</v>
      </c>
      <c r="G246" s="209">
        <v>0</v>
      </c>
      <c r="H246" s="209"/>
      <c r="I246" s="209">
        <v>0</v>
      </c>
      <c r="J246" s="241" t="e">
        <f t="shared" si="17"/>
        <v>#DIV/0!</v>
      </c>
      <c r="K246" s="126"/>
      <c r="L246" s="136" t="e">
        <f t="shared" si="16"/>
        <v>#DIV/0!</v>
      </c>
      <c r="M246" s="166"/>
      <c r="N246" s="166"/>
    </row>
    <row r="247" spans="1:14" s="4" customFormat="1" ht="18.75" customHeight="1" hidden="1">
      <c r="A247" s="51"/>
      <c r="B247" s="45"/>
      <c r="C247" s="45"/>
      <c r="D247" s="80"/>
      <c r="E247" s="45"/>
      <c r="F247" s="218"/>
      <c r="G247" s="219"/>
      <c r="H247" s="219"/>
      <c r="I247" s="217"/>
      <c r="J247" s="148" t="e">
        <f t="shared" si="17"/>
        <v>#DIV/0!</v>
      </c>
      <c r="K247" s="126"/>
      <c r="L247" s="136" t="e">
        <f t="shared" si="16"/>
        <v>#DIV/0!</v>
      </c>
      <c r="M247" s="169"/>
      <c r="N247" s="169"/>
    </row>
    <row r="248" spans="1:12" s="43" customFormat="1" ht="49.5" customHeight="1" hidden="1">
      <c r="A248" s="74"/>
      <c r="B248" s="24"/>
      <c r="C248" s="24"/>
      <c r="D248" s="54"/>
      <c r="E248" s="24"/>
      <c r="F248" s="216"/>
      <c r="G248" s="209"/>
      <c r="H248" s="209"/>
      <c r="I248" s="217"/>
      <c r="J248" s="148" t="e">
        <f t="shared" si="17"/>
        <v>#DIV/0!</v>
      </c>
      <c r="K248" s="139"/>
      <c r="L248" s="121" t="e">
        <f t="shared" si="16"/>
        <v>#DIV/0!</v>
      </c>
    </row>
    <row r="249" spans="1:12" s="4" customFormat="1" ht="48" customHeight="1" hidden="1">
      <c r="A249" s="74"/>
      <c r="B249" s="24"/>
      <c r="C249" s="24"/>
      <c r="D249" s="54"/>
      <c r="E249" s="24"/>
      <c r="F249" s="216"/>
      <c r="G249" s="209"/>
      <c r="H249" s="209"/>
      <c r="I249" s="217"/>
      <c r="J249" s="148" t="e">
        <f t="shared" si="17"/>
        <v>#DIV/0!</v>
      </c>
      <c r="K249" s="118"/>
      <c r="L249" s="119" t="e">
        <f t="shared" si="16"/>
        <v>#DIV/0!</v>
      </c>
    </row>
    <row r="250" spans="1:12" s="4" customFormat="1" ht="50.25" customHeight="1">
      <c r="A250" s="287" t="s">
        <v>325</v>
      </c>
      <c r="B250" s="288" t="s">
        <v>326</v>
      </c>
      <c r="C250" s="288" t="s">
        <v>113</v>
      </c>
      <c r="D250" s="302" t="s">
        <v>262</v>
      </c>
      <c r="E250" s="288" t="s">
        <v>347</v>
      </c>
      <c r="F250" s="289">
        <f>F251+F275+F282</f>
        <v>7551.383379999999</v>
      </c>
      <c r="G250" s="289">
        <f>G251+G275+G282</f>
        <v>6590.67682</v>
      </c>
      <c r="H250" s="289">
        <f>H251+H275+H282</f>
        <v>960.70656</v>
      </c>
      <c r="I250" s="289">
        <f>I251+I275+I282</f>
        <v>6801.83316</v>
      </c>
      <c r="J250" s="290">
        <f t="shared" si="17"/>
        <v>90.07400124876193</v>
      </c>
      <c r="K250" s="141"/>
      <c r="L250" s="275">
        <f t="shared" si="16"/>
        <v>90.07400124876193</v>
      </c>
    </row>
    <row r="251" spans="1:12" s="4" customFormat="1" ht="19.5" customHeight="1">
      <c r="A251" s="51" t="s">
        <v>299</v>
      </c>
      <c r="B251" s="45" t="s">
        <v>326</v>
      </c>
      <c r="C251" s="45" t="s">
        <v>114</v>
      </c>
      <c r="D251" s="80" t="s">
        <v>262</v>
      </c>
      <c r="E251" s="45" t="s">
        <v>347</v>
      </c>
      <c r="F251" s="218">
        <f>F252+F259+F262+F267+F272</f>
        <v>3948.5851399999997</v>
      </c>
      <c r="G251" s="218">
        <f>G252+G259+G262+G267+G272</f>
        <v>2989.5738199999996</v>
      </c>
      <c r="H251" s="218">
        <f>H252+H259+H262+H267+H272</f>
        <v>959.01132</v>
      </c>
      <c r="I251" s="218">
        <f>I252+I259+I262+I267+I272</f>
        <v>3656.30785</v>
      </c>
      <c r="J251" s="242">
        <f t="shared" si="17"/>
        <v>92.59792356914964</v>
      </c>
      <c r="K251" s="118">
        <f>K252</f>
        <v>146954.95548</v>
      </c>
      <c r="L251" s="119">
        <f t="shared" si="16"/>
        <v>92.59792356914964</v>
      </c>
    </row>
    <row r="252" spans="1:12" s="4" customFormat="1" ht="23.25" customHeight="1">
      <c r="A252" s="44" t="s">
        <v>300</v>
      </c>
      <c r="B252" s="24" t="s">
        <v>326</v>
      </c>
      <c r="C252" s="24" t="s">
        <v>114</v>
      </c>
      <c r="D252" s="54" t="s">
        <v>20</v>
      </c>
      <c r="E252" s="24" t="s">
        <v>347</v>
      </c>
      <c r="F252" s="216">
        <f>F253+F256</f>
        <v>2137.89155</v>
      </c>
      <c r="G252" s="216">
        <f>G253+G256</f>
        <v>2137.89155</v>
      </c>
      <c r="H252" s="216">
        <f>H253+H256</f>
        <v>0</v>
      </c>
      <c r="I252" s="216">
        <f>I253+I256</f>
        <v>1907.83619</v>
      </c>
      <c r="J252" s="241">
        <f t="shared" si="17"/>
        <v>89.23914732718787</v>
      </c>
      <c r="K252" s="118">
        <f>K253</f>
        <v>146954.95548</v>
      </c>
      <c r="L252" s="119">
        <f t="shared" si="16"/>
        <v>89.23914732718787</v>
      </c>
    </row>
    <row r="253" spans="1:12" s="4" customFormat="1" ht="39.75" customHeight="1">
      <c r="A253" s="44" t="s">
        <v>474</v>
      </c>
      <c r="B253" s="24" t="s">
        <v>326</v>
      </c>
      <c r="C253" s="24" t="s">
        <v>114</v>
      </c>
      <c r="D253" s="54" t="s">
        <v>20</v>
      </c>
      <c r="E253" s="24" t="s">
        <v>347</v>
      </c>
      <c r="F253" s="216">
        <f t="shared" si="13"/>
        <v>1052.6</v>
      </c>
      <c r="G253" s="209">
        <f>G254</f>
        <v>1052.6</v>
      </c>
      <c r="H253" s="209">
        <f>H255</f>
        <v>0</v>
      </c>
      <c r="I253" s="209">
        <f>I254</f>
        <v>1020.8059</v>
      </c>
      <c r="J253" s="241">
        <f t="shared" si="17"/>
        <v>96.97946988409653</v>
      </c>
      <c r="K253" s="79">
        <f>K254+K257+K260+K263+K266</f>
        <v>146954.95548</v>
      </c>
      <c r="L253" s="119">
        <f t="shared" si="16"/>
        <v>96.97946988409653</v>
      </c>
    </row>
    <row r="254" spans="1:12" s="4" customFormat="1" ht="35.25" customHeight="1">
      <c r="A254" s="44" t="s">
        <v>151</v>
      </c>
      <c r="B254" s="24" t="s">
        <v>326</v>
      </c>
      <c r="C254" s="24" t="s">
        <v>114</v>
      </c>
      <c r="D254" s="54" t="s">
        <v>20</v>
      </c>
      <c r="E254" s="24" t="s">
        <v>121</v>
      </c>
      <c r="F254" s="216">
        <f t="shared" si="13"/>
        <v>1052.6</v>
      </c>
      <c r="G254" s="209">
        <f>G255</f>
        <v>1052.6</v>
      </c>
      <c r="H254" s="209"/>
      <c r="I254" s="209">
        <f>I255</f>
        <v>1020.8059</v>
      </c>
      <c r="J254" s="241">
        <f t="shared" si="17"/>
        <v>96.97946988409653</v>
      </c>
      <c r="K254" s="120">
        <f>K255</f>
        <v>3443.06829</v>
      </c>
      <c r="L254" s="119">
        <f t="shared" si="16"/>
        <v>96.97946988409653</v>
      </c>
    </row>
    <row r="255" spans="1:12" s="4" customFormat="1" ht="30" customHeight="1">
      <c r="A255" s="74" t="s">
        <v>152</v>
      </c>
      <c r="B255" s="24" t="s">
        <v>326</v>
      </c>
      <c r="C255" s="24" t="s">
        <v>114</v>
      </c>
      <c r="D255" s="54" t="s">
        <v>20</v>
      </c>
      <c r="E255" s="24" t="s">
        <v>153</v>
      </c>
      <c r="F255" s="216">
        <f t="shared" si="13"/>
        <v>1052.6</v>
      </c>
      <c r="G255" s="209">
        <f>645.5+332.6-290+484.5-120</f>
        <v>1052.6</v>
      </c>
      <c r="H255" s="209"/>
      <c r="I255" s="209">
        <v>1020.8059</v>
      </c>
      <c r="J255" s="241">
        <f t="shared" si="17"/>
        <v>96.97946988409653</v>
      </c>
      <c r="K255" s="126">
        <f>K256</f>
        <v>3443.06829</v>
      </c>
      <c r="L255" s="121">
        <f t="shared" si="16"/>
        <v>96.97946988409653</v>
      </c>
    </row>
    <row r="256" spans="1:12" s="4" customFormat="1" ht="37.5" customHeight="1">
      <c r="A256" s="44" t="s">
        <v>419</v>
      </c>
      <c r="B256" s="24" t="s">
        <v>326</v>
      </c>
      <c r="C256" s="24" t="s">
        <v>114</v>
      </c>
      <c r="D256" s="54" t="s">
        <v>87</v>
      </c>
      <c r="E256" s="24" t="s">
        <v>347</v>
      </c>
      <c r="F256" s="216">
        <f t="shared" si="13"/>
        <v>1085.29155</v>
      </c>
      <c r="G256" s="209">
        <f>G257</f>
        <v>1085.29155</v>
      </c>
      <c r="H256" s="209"/>
      <c r="I256" s="209">
        <f>I257</f>
        <v>887.03029</v>
      </c>
      <c r="J256" s="241">
        <f t="shared" si="17"/>
        <v>81.73198160439009</v>
      </c>
      <c r="K256" s="123">
        <v>3443.06829</v>
      </c>
      <c r="L256" s="119">
        <f t="shared" si="16"/>
        <v>81.73198160439009</v>
      </c>
    </row>
    <row r="257" spans="1:12" s="4" customFormat="1" ht="37.5" customHeight="1">
      <c r="A257" s="44" t="s">
        <v>151</v>
      </c>
      <c r="B257" s="24" t="s">
        <v>326</v>
      </c>
      <c r="C257" s="24" t="s">
        <v>114</v>
      </c>
      <c r="D257" s="54" t="s">
        <v>87</v>
      </c>
      <c r="E257" s="24" t="s">
        <v>121</v>
      </c>
      <c r="F257" s="216">
        <f t="shared" si="13"/>
        <v>1085.29155</v>
      </c>
      <c r="G257" s="209">
        <f>G258</f>
        <v>1085.29155</v>
      </c>
      <c r="H257" s="209"/>
      <c r="I257" s="209">
        <f>I258</f>
        <v>887.03029</v>
      </c>
      <c r="J257" s="241">
        <f t="shared" si="17"/>
        <v>81.73198160439009</v>
      </c>
      <c r="K257" s="138">
        <f>K258</f>
        <v>507.83759</v>
      </c>
      <c r="L257" s="119">
        <f t="shared" si="16"/>
        <v>81.73198160439009</v>
      </c>
    </row>
    <row r="258" spans="1:12" s="4" customFormat="1" ht="41.25" customHeight="1">
      <c r="A258" s="74" t="s">
        <v>152</v>
      </c>
      <c r="B258" s="24" t="s">
        <v>326</v>
      </c>
      <c r="C258" s="24" t="s">
        <v>114</v>
      </c>
      <c r="D258" s="54" t="s">
        <v>87</v>
      </c>
      <c r="E258" s="24" t="s">
        <v>153</v>
      </c>
      <c r="F258" s="216">
        <f t="shared" si="13"/>
        <v>1085.29155</v>
      </c>
      <c r="G258" s="209">
        <f>619.1+400+19.34227+21.84928+71-471+130+270+100-75</f>
        <v>1085.29155</v>
      </c>
      <c r="H258" s="209"/>
      <c r="I258" s="209">
        <v>887.03029</v>
      </c>
      <c r="J258" s="241">
        <f t="shared" si="17"/>
        <v>81.73198160439009</v>
      </c>
      <c r="K258" s="122">
        <f>K259</f>
        <v>507.83759</v>
      </c>
      <c r="L258" s="119">
        <f t="shared" si="16"/>
        <v>81.73198160439009</v>
      </c>
    </row>
    <row r="259" spans="1:12" s="4" customFormat="1" ht="39.75" customHeight="1">
      <c r="A259" s="62" t="s">
        <v>595</v>
      </c>
      <c r="B259" s="45" t="s">
        <v>326</v>
      </c>
      <c r="C259" s="45" t="s">
        <v>114</v>
      </c>
      <c r="D259" s="80" t="s">
        <v>596</v>
      </c>
      <c r="E259" s="45" t="s">
        <v>347</v>
      </c>
      <c r="F259" s="218">
        <f t="shared" si="13"/>
        <v>556.49527</v>
      </c>
      <c r="G259" s="219">
        <f>G260</f>
        <v>556.49527</v>
      </c>
      <c r="H259" s="219"/>
      <c r="I259" s="219">
        <f>I260</f>
        <v>556.48527</v>
      </c>
      <c r="J259" s="242">
        <f t="shared" si="17"/>
        <v>99.99820303953348</v>
      </c>
      <c r="K259" s="154">
        <v>507.83759</v>
      </c>
      <c r="L259" s="121">
        <f t="shared" si="16"/>
        <v>99.99820303953348</v>
      </c>
    </row>
    <row r="260" spans="1:12" s="4" customFormat="1" ht="45" customHeight="1">
      <c r="A260" s="44" t="s">
        <v>151</v>
      </c>
      <c r="B260" s="24" t="s">
        <v>326</v>
      </c>
      <c r="C260" s="24" t="s">
        <v>114</v>
      </c>
      <c r="D260" s="54" t="s">
        <v>596</v>
      </c>
      <c r="E260" s="24" t="s">
        <v>121</v>
      </c>
      <c r="F260" s="216">
        <f t="shared" si="13"/>
        <v>556.49527</v>
      </c>
      <c r="G260" s="209">
        <f>G261</f>
        <v>556.49527</v>
      </c>
      <c r="H260" s="209"/>
      <c r="I260" s="209">
        <f>I261</f>
        <v>556.48527</v>
      </c>
      <c r="J260" s="241">
        <f t="shared" si="17"/>
        <v>99.99820303953348</v>
      </c>
      <c r="K260" s="120">
        <f>K261</f>
        <v>143004.0496</v>
      </c>
      <c r="L260" s="119">
        <f t="shared" si="16"/>
        <v>99.99820303953348</v>
      </c>
    </row>
    <row r="261" spans="1:12" s="47" customFormat="1" ht="36" customHeight="1">
      <c r="A261" s="74" t="s">
        <v>152</v>
      </c>
      <c r="B261" s="24" t="s">
        <v>326</v>
      </c>
      <c r="C261" s="24" t="s">
        <v>114</v>
      </c>
      <c r="D261" s="54" t="s">
        <v>596</v>
      </c>
      <c r="E261" s="24" t="s">
        <v>153</v>
      </c>
      <c r="F261" s="216">
        <f t="shared" si="13"/>
        <v>556.49527</v>
      </c>
      <c r="G261" s="209">
        <f>5.568+8.13+13.55491+27.10982+33.61446+13.11601+13.11601+13.55491+13.55491+13.11601+13.55491+13.11601+13.55491+80.45164+13.55491+13.11601+53.78072+13.55491+187.37621</f>
        <v>556.49527</v>
      </c>
      <c r="H261" s="209"/>
      <c r="I261" s="209">
        <v>556.48527</v>
      </c>
      <c r="J261" s="241">
        <f t="shared" si="17"/>
        <v>99.99820303953348</v>
      </c>
      <c r="K261" s="120">
        <f>K262</f>
        <v>143004.0496</v>
      </c>
      <c r="L261" s="121">
        <f t="shared" si="16"/>
        <v>99.99820303953348</v>
      </c>
    </row>
    <row r="262" spans="1:12" s="1" customFormat="1" ht="88.5" customHeight="1">
      <c r="A262" s="51" t="s">
        <v>536</v>
      </c>
      <c r="B262" s="45" t="s">
        <v>326</v>
      </c>
      <c r="C262" s="45" t="s">
        <v>114</v>
      </c>
      <c r="D262" s="80" t="s">
        <v>534</v>
      </c>
      <c r="E262" s="45" t="s">
        <v>347</v>
      </c>
      <c r="F262" s="218">
        <f t="shared" si="13"/>
        <v>968.69832</v>
      </c>
      <c r="G262" s="219">
        <f aca="true" t="shared" si="20" ref="G262:I263">G263</f>
        <v>9.687</v>
      </c>
      <c r="H262" s="219">
        <f t="shared" si="20"/>
        <v>959.01132</v>
      </c>
      <c r="I262" s="219">
        <f t="shared" si="20"/>
        <v>968.1206999999999</v>
      </c>
      <c r="J262" s="242">
        <f t="shared" si="17"/>
        <v>99.94037152867159</v>
      </c>
      <c r="K262" s="123">
        <v>143004.0496</v>
      </c>
      <c r="L262" s="119">
        <f t="shared" si="16"/>
        <v>99.94037152867159</v>
      </c>
    </row>
    <row r="263" spans="1:12" s="1" customFormat="1" ht="18.75" customHeight="1">
      <c r="A263" s="74" t="s">
        <v>532</v>
      </c>
      <c r="B263" s="24" t="s">
        <v>326</v>
      </c>
      <c r="C263" s="24" t="s">
        <v>114</v>
      </c>
      <c r="D263" s="54" t="s">
        <v>534</v>
      </c>
      <c r="E263" s="24" t="s">
        <v>347</v>
      </c>
      <c r="F263" s="216">
        <f t="shared" si="13"/>
        <v>968.69832</v>
      </c>
      <c r="G263" s="209">
        <f t="shared" si="20"/>
        <v>9.687</v>
      </c>
      <c r="H263" s="209">
        <f t="shared" si="20"/>
        <v>959.01132</v>
      </c>
      <c r="I263" s="209">
        <f t="shared" si="20"/>
        <v>968.1206999999999</v>
      </c>
      <c r="J263" s="241">
        <f t="shared" si="17"/>
        <v>99.94037152867159</v>
      </c>
      <c r="K263" s="138">
        <f>K264</f>
        <v>0</v>
      </c>
      <c r="L263" s="119">
        <f t="shared" si="16"/>
        <v>99.94037152867159</v>
      </c>
    </row>
    <row r="264" spans="1:12" s="4" customFormat="1" ht="17.25" customHeight="1">
      <c r="A264" s="44" t="s">
        <v>156</v>
      </c>
      <c r="B264" s="24" t="s">
        <v>326</v>
      </c>
      <c r="C264" s="24" t="s">
        <v>114</v>
      </c>
      <c r="D264" s="54" t="s">
        <v>534</v>
      </c>
      <c r="E264" s="24" t="s">
        <v>157</v>
      </c>
      <c r="F264" s="216">
        <f>F265+F266</f>
        <v>968.69832</v>
      </c>
      <c r="G264" s="216">
        <f>G265+G266</f>
        <v>9.687</v>
      </c>
      <c r="H264" s="216">
        <f>H265+H266</f>
        <v>959.01132</v>
      </c>
      <c r="I264" s="216">
        <f>I265+I266</f>
        <v>968.1206999999999</v>
      </c>
      <c r="J264" s="241">
        <f t="shared" si="17"/>
        <v>99.94037152867159</v>
      </c>
      <c r="K264" s="122">
        <f>K265</f>
        <v>0</v>
      </c>
      <c r="L264" s="119">
        <f t="shared" si="16"/>
        <v>99.94037152867159</v>
      </c>
    </row>
    <row r="265" spans="1:12" s="30" customFormat="1" ht="48" customHeight="1">
      <c r="A265" s="44" t="s">
        <v>618</v>
      </c>
      <c r="B265" s="24" t="s">
        <v>326</v>
      </c>
      <c r="C265" s="24" t="s">
        <v>114</v>
      </c>
      <c r="D265" s="54" t="s">
        <v>533</v>
      </c>
      <c r="E265" s="24" t="s">
        <v>393</v>
      </c>
      <c r="F265" s="216">
        <f t="shared" si="13"/>
        <v>959.01132</v>
      </c>
      <c r="G265" s="209"/>
      <c r="H265" s="209">
        <f>216.52843+742.48289</f>
        <v>959.01132</v>
      </c>
      <c r="I265" s="209">
        <v>958.43949</v>
      </c>
      <c r="J265" s="241">
        <f t="shared" si="17"/>
        <v>99.94037296660899</v>
      </c>
      <c r="K265" s="122">
        <v>0</v>
      </c>
      <c r="L265" s="121">
        <f t="shared" si="16"/>
        <v>99.94037296660899</v>
      </c>
    </row>
    <row r="266" spans="1:12" s="1" customFormat="1" ht="45" customHeight="1">
      <c r="A266" s="44" t="s">
        <v>619</v>
      </c>
      <c r="B266" s="24" t="s">
        <v>326</v>
      </c>
      <c r="C266" s="24" t="s">
        <v>114</v>
      </c>
      <c r="D266" s="54" t="s">
        <v>620</v>
      </c>
      <c r="E266" s="24" t="s">
        <v>393</v>
      </c>
      <c r="F266" s="216">
        <f t="shared" si="13"/>
        <v>9.687</v>
      </c>
      <c r="G266" s="209">
        <f>20-10.313</f>
        <v>9.687</v>
      </c>
      <c r="H266" s="209"/>
      <c r="I266" s="209">
        <v>9.68121</v>
      </c>
      <c r="J266" s="241">
        <f t="shared" si="17"/>
        <v>99.94022917311862</v>
      </c>
      <c r="K266" s="120">
        <f>K267</f>
        <v>0</v>
      </c>
      <c r="L266" s="119">
        <f t="shared" si="16"/>
        <v>99.94022917311862</v>
      </c>
    </row>
    <row r="267" spans="1:12" s="1" customFormat="1" ht="34.5" customHeight="1">
      <c r="A267" s="62" t="s">
        <v>115</v>
      </c>
      <c r="B267" s="45" t="s">
        <v>326</v>
      </c>
      <c r="C267" s="45" t="s">
        <v>114</v>
      </c>
      <c r="D267" s="80" t="s">
        <v>7</v>
      </c>
      <c r="E267" s="45" t="s">
        <v>347</v>
      </c>
      <c r="F267" s="218">
        <f t="shared" si="13"/>
        <v>275</v>
      </c>
      <c r="G267" s="219">
        <f>G268</f>
        <v>275</v>
      </c>
      <c r="H267" s="219"/>
      <c r="I267" s="219">
        <f>I268</f>
        <v>213.36569</v>
      </c>
      <c r="J267" s="242">
        <f t="shared" si="17"/>
        <v>77.58752363636363</v>
      </c>
      <c r="K267" s="118">
        <f>K268</f>
        <v>0</v>
      </c>
      <c r="L267" s="119">
        <f t="shared" si="16"/>
        <v>77.58752363636363</v>
      </c>
    </row>
    <row r="268" spans="1:12" s="1" customFormat="1" ht="35.25" customHeight="1">
      <c r="A268" s="74" t="s">
        <v>116</v>
      </c>
      <c r="B268" s="24" t="s">
        <v>326</v>
      </c>
      <c r="C268" s="24" t="s">
        <v>114</v>
      </c>
      <c r="D268" s="54" t="s">
        <v>8</v>
      </c>
      <c r="E268" s="24" t="s">
        <v>347</v>
      </c>
      <c r="F268" s="216">
        <f t="shared" si="13"/>
        <v>275</v>
      </c>
      <c r="G268" s="209">
        <f>G269</f>
        <v>275</v>
      </c>
      <c r="H268" s="209"/>
      <c r="I268" s="209">
        <v>213.36569</v>
      </c>
      <c r="J268" s="241">
        <f t="shared" si="17"/>
        <v>77.58752363636363</v>
      </c>
      <c r="K268" s="140">
        <v>0</v>
      </c>
      <c r="L268" s="119">
        <f t="shared" si="16"/>
        <v>77.58752363636363</v>
      </c>
    </row>
    <row r="269" spans="1:12" s="1" customFormat="1" ht="94.5" customHeight="1">
      <c r="A269" s="56" t="s">
        <v>544</v>
      </c>
      <c r="B269" s="101" t="s">
        <v>326</v>
      </c>
      <c r="C269" s="101" t="s">
        <v>114</v>
      </c>
      <c r="D269" s="108" t="s">
        <v>543</v>
      </c>
      <c r="E269" s="101" t="s">
        <v>347</v>
      </c>
      <c r="F269" s="234">
        <f t="shared" si="13"/>
        <v>275</v>
      </c>
      <c r="G269" s="230">
        <f>G270</f>
        <v>275</v>
      </c>
      <c r="H269" s="230"/>
      <c r="I269" s="230">
        <f>I270</f>
        <v>213.36569</v>
      </c>
      <c r="J269" s="246">
        <f t="shared" si="17"/>
        <v>77.58752363636363</v>
      </c>
      <c r="K269" s="141"/>
      <c r="L269" s="119">
        <f t="shared" si="16"/>
        <v>77.58752363636363</v>
      </c>
    </row>
    <row r="270" spans="1:12" s="1" customFormat="1" ht="37.5" customHeight="1">
      <c r="A270" s="44" t="s">
        <v>151</v>
      </c>
      <c r="B270" s="24" t="s">
        <v>326</v>
      </c>
      <c r="C270" s="24" t="s">
        <v>114</v>
      </c>
      <c r="D270" s="54" t="s">
        <v>543</v>
      </c>
      <c r="E270" s="24" t="s">
        <v>121</v>
      </c>
      <c r="F270" s="216">
        <f t="shared" si="13"/>
        <v>275</v>
      </c>
      <c r="G270" s="209">
        <f>G271</f>
        <v>275</v>
      </c>
      <c r="H270" s="209"/>
      <c r="I270" s="209">
        <f>I271</f>
        <v>213.36569</v>
      </c>
      <c r="J270" s="241">
        <f t="shared" si="17"/>
        <v>77.58752363636363</v>
      </c>
      <c r="K270" s="59"/>
      <c r="L270" s="119">
        <f t="shared" si="16"/>
        <v>77.58752363636363</v>
      </c>
    </row>
    <row r="271" spans="1:12" s="1" customFormat="1" ht="94.5" customHeight="1" hidden="1">
      <c r="A271" s="74" t="s">
        <v>152</v>
      </c>
      <c r="B271" s="24" t="s">
        <v>326</v>
      </c>
      <c r="C271" s="24" t="s">
        <v>114</v>
      </c>
      <c r="D271" s="54" t="s">
        <v>543</v>
      </c>
      <c r="E271" s="24" t="s">
        <v>153</v>
      </c>
      <c r="F271" s="216">
        <f t="shared" si="13"/>
        <v>275</v>
      </c>
      <c r="G271" s="209">
        <f>25+75+175</f>
        <v>275</v>
      </c>
      <c r="H271" s="209"/>
      <c r="I271" s="209">
        <v>213.36569</v>
      </c>
      <c r="J271" s="241">
        <f t="shared" si="17"/>
        <v>77.58752363636363</v>
      </c>
      <c r="K271" s="118"/>
      <c r="L271" s="119">
        <f aca="true" t="shared" si="21" ref="L271:L303">I271/F271*100</f>
        <v>77.58752363636363</v>
      </c>
    </row>
    <row r="272" spans="1:12" s="1" customFormat="1" ht="49.5" customHeight="1" hidden="1">
      <c r="A272" s="62" t="s">
        <v>453</v>
      </c>
      <c r="B272" s="45" t="s">
        <v>326</v>
      </c>
      <c r="C272" s="45" t="s">
        <v>114</v>
      </c>
      <c r="D272" s="80" t="s">
        <v>451</v>
      </c>
      <c r="E272" s="45" t="s">
        <v>347</v>
      </c>
      <c r="F272" s="218">
        <f t="shared" si="13"/>
        <v>10.5</v>
      </c>
      <c r="G272" s="219">
        <f>G273</f>
        <v>10.5</v>
      </c>
      <c r="H272" s="219"/>
      <c r="I272" s="219">
        <v>10.5</v>
      </c>
      <c r="J272" s="242">
        <f aca="true" t="shared" si="22" ref="J272:J335">I272/F272*100</f>
        <v>100</v>
      </c>
      <c r="K272" s="118"/>
      <c r="L272" s="119">
        <f t="shared" si="21"/>
        <v>100</v>
      </c>
    </row>
    <row r="273" spans="1:12" s="1" customFormat="1" ht="19.5" customHeight="1" hidden="1">
      <c r="A273" s="44" t="s">
        <v>151</v>
      </c>
      <c r="B273" s="24" t="s">
        <v>326</v>
      </c>
      <c r="C273" s="24" t="s">
        <v>114</v>
      </c>
      <c r="D273" s="54" t="s">
        <v>621</v>
      </c>
      <c r="E273" s="24" t="s">
        <v>121</v>
      </c>
      <c r="F273" s="216">
        <f>G273</f>
        <v>10.5</v>
      </c>
      <c r="G273" s="209">
        <f>G274</f>
        <v>10.5</v>
      </c>
      <c r="H273" s="209"/>
      <c r="I273" s="209">
        <v>10.5</v>
      </c>
      <c r="J273" s="241">
        <f t="shared" si="22"/>
        <v>100</v>
      </c>
      <c r="K273" s="118"/>
      <c r="L273" s="119">
        <f t="shared" si="21"/>
        <v>100</v>
      </c>
    </row>
    <row r="274" spans="1:12" s="1" customFormat="1" ht="34.5" customHeight="1">
      <c r="A274" s="74" t="s">
        <v>152</v>
      </c>
      <c r="B274" s="24" t="s">
        <v>326</v>
      </c>
      <c r="C274" s="24" t="s">
        <v>114</v>
      </c>
      <c r="D274" s="54" t="s">
        <v>621</v>
      </c>
      <c r="E274" s="24" t="s">
        <v>153</v>
      </c>
      <c r="F274" s="216">
        <f>G274</f>
        <v>10.5</v>
      </c>
      <c r="G274" s="209">
        <f>20-9.5</f>
        <v>10.5</v>
      </c>
      <c r="H274" s="209"/>
      <c r="I274" s="209">
        <v>10.55</v>
      </c>
      <c r="J274" s="241">
        <f t="shared" si="22"/>
        <v>100.47619047619048</v>
      </c>
      <c r="K274" s="118"/>
      <c r="L274" s="121">
        <f t="shared" si="21"/>
        <v>100.47619047619048</v>
      </c>
    </row>
    <row r="275" spans="1:12" s="1" customFormat="1" ht="16.5" customHeight="1">
      <c r="A275" s="62" t="s">
        <v>331</v>
      </c>
      <c r="B275" s="45" t="s">
        <v>326</v>
      </c>
      <c r="C275" s="45" t="s">
        <v>119</v>
      </c>
      <c r="D275" s="80" t="s">
        <v>262</v>
      </c>
      <c r="E275" s="45" t="s">
        <v>347</v>
      </c>
      <c r="F275" s="218">
        <f t="shared" si="13"/>
        <v>15</v>
      </c>
      <c r="G275" s="219">
        <f>G276+G279</f>
        <v>15</v>
      </c>
      <c r="H275" s="219">
        <f>H276+H279</f>
        <v>0</v>
      </c>
      <c r="I275" s="209">
        <f>I276</f>
        <v>14.0252</v>
      </c>
      <c r="J275" s="241">
        <f t="shared" si="22"/>
        <v>93.50133333333333</v>
      </c>
      <c r="K275" s="118"/>
      <c r="L275" s="119">
        <f t="shared" si="21"/>
        <v>93.50133333333333</v>
      </c>
    </row>
    <row r="276" spans="1:12" s="1" customFormat="1" ht="15.75" customHeight="1">
      <c r="A276" s="74" t="s">
        <v>332</v>
      </c>
      <c r="B276" s="24" t="s">
        <v>326</v>
      </c>
      <c r="C276" s="24" t="s">
        <v>119</v>
      </c>
      <c r="D276" s="54" t="s">
        <v>21</v>
      </c>
      <c r="E276" s="24" t="s">
        <v>347</v>
      </c>
      <c r="F276" s="216">
        <f t="shared" si="13"/>
        <v>15</v>
      </c>
      <c r="G276" s="209">
        <f aca="true" t="shared" si="23" ref="G276:I277">G277</f>
        <v>15</v>
      </c>
      <c r="H276" s="209">
        <f t="shared" si="23"/>
        <v>0</v>
      </c>
      <c r="I276" s="209">
        <f t="shared" si="23"/>
        <v>14.0252</v>
      </c>
      <c r="J276" s="241">
        <f t="shared" si="22"/>
        <v>93.50133333333333</v>
      </c>
      <c r="K276" s="118"/>
      <c r="L276" s="119">
        <f t="shared" si="21"/>
        <v>93.50133333333333</v>
      </c>
    </row>
    <row r="277" spans="1:12" s="1" customFormat="1" ht="37.5" customHeight="1">
      <c r="A277" s="44" t="s">
        <v>151</v>
      </c>
      <c r="B277" s="24" t="s">
        <v>326</v>
      </c>
      <c r="C277" s="24" t="s">
        <v>119</v>
      </c>
      <c r="D277" s="54" t="s">
        <v>21</v>
      </c>
      <c r="E277" s="24" t="s">
        <v>121</v>
      </c>
      <c r="F277" s="216">
        <f t="shared" si="13"/>
        <v>15</v>
      </c>
      <c r="G277" s="209">
        <f t="shared" si="23"/>
        <v>15</v>
      </c>
      <c r="H277" s="209">
        <f t="shared" si="23"/>
        <v>0</v>
      </c>
      <c r="I277" s="209">
        <f t="shared" si="23"/>
        <v>14.0252</v>
      </c>
      <c r="J277" s="241">
        <f t="shared" si="22"/>
        <v>93.50133333333333</v>
      </c>
      <c r="K277" s="142">
        <f>K278</f>
        <v>0</v>
      </c>
      <c r="L277" s="119">
        <f t="shared" si="21"/>
        <v>93.50133333333333</v>
      </c>
    </row>
    <row r="278" spans="1:12" s="4" customFormat="1" ht="37.5" customHeight="1">
      <c r="A278" s="74" t="s">
        <v>152</v>
      </c>
      <c r="B278" s="24" t="s">
        <v>326</v>
      </c>
      <c r="C278" s="24" t="s">
        <v>119</v>
      </c>
      <c r="D278" s="54" t="s">
        <v>21</v>
      </c>
      <c r="E278" s="24" t="s">
        <v>153</v>
      </c>
      <c r="F278" s="216">
        <f t="shared" si="13"/>
        <v>15</v>
      </c>
      <c r="G278" s="209">
        <f>90-75</f>
        <v>15</v>
      </c>
      <c r="H278" s="209"/>
      <c r="I278" s="209">
        <v>14.0252</v>
      </c>
      <c r="J278" s="241">
        <f t="shared" si="22"/>
        <v>93.50133333333333</v>
      </c>
      <c r="K278" s="118">
        <f>K279</f>
        <v>0</v>
      </c>
      <c r="L278" s="119">
        <f t="shared" si="21"/>
        <v>93.50133333333333</v>
      </c>
    </row>
    <row r="279" spans="1:12" s="4" customFormat="1" ht="19.5" customHeight="1" hidden="1">
      <c r="A279" s="74" t="s">
        <v>333</v>
      </c>
      <c r="B279" s="24" t="s">
        <v>326</v>
      </c>
      <c r="C279" s="24" t="s">
        <v>119</v>
      </c>
      <c r="D279" s="54" t="s">
        <v>22</v>
      </c>
      <c r="E279" s="24" t="s">
        <v>347</v>
      </c>
      <c r="F279" s="216">
        <f t="shared" si="13"/>
        <v>0</v>
      </c>
      <c r="G279" s="209">
        <f>G280</f>
        <v>0</v>
      </c>
      <c r="H279" s="209">
        <f>H280</f>
        <v>0</v>
      </c>
      <c r="I279" s="209">
        <v>0</v>
      </c>
      <c r="J279" s="241" t="e">
        <f t="shared" si="22"/>
        <v>#DIV/0!</v>
      </c>
      <c r="K279" s="118">
        <f>K281</f>
        <v>0</v>
      </c>
      <c r="L279" s="119" t="e">
        <f t="shared" si="21"/>
        <v>#DIV/0!</v>
      </c>
    </row>
    <row r="280" spans="1:12" s="4" customFormat="1" ht="33" customHeight="1" hidden="1">
      <c r="A280" s="44" t="s">
        <v>151</v>
      </c>
      <c r="B280" s="24" t="s">
        <v>326</v>
      </c>
      <c r="C280" s="24" t="s">
        <v>119</v>
      </c>
      <c r="D280" s="54" t="s">
        <v>22</v>
      </c>
      <c r="E280" s="24" t="s">
        <v>121</v>
      </c>
      <c r="F280" s="216">
        <f t="shared" si="13"/>
        <v>0</v>
      </c>
      <c r="G280" s="209">
        <f>G281</f>
        <v>0</v>
      </c>
      <c r="H280" s="209">
        <f>H281</f>
        <v>0</v>
      </c>
      <c r="I280" s="209">
        <v>0</v>
      </c>
      <c r="J280" s="241" t="e">
        <f t="shared" si="22"/>
        <v>#DIV/0!</v>
      </c>
      <c r="K280" s="118"/>
      <c r="L280" s="119" t="e">
        <f t="shared" si="21"/>
        <v>#DIV/0!</v>
      </c>
    </row>
    <row r="281" spans="1:12" s="4" customFormat="1" ht="32.25" customHeight="1" hidden="1">
      <c r="A281" s="74" t="s">
        <v>152</v>
      </c>
      <c r="B281" s="24" t="s">
        <v>326</v>
      </c>
      <c r="C281" s="24" t="s">
        <v>119</v>
      </c>
      <c r="D281" s="54" t="s">
        <v>22</v>
      </c>
      <c r="E281" s="24" t="s">
        <v>153</v>
      </c>
      <c r="F281" s="216">
        <f t="shared" si="13"/>
        <v>0</v>
      </c>
      <c r="G281" s="209">
        <f>100-100</f>
        <v>0</v>
      </c>
      <c r="H281" s="209"/>
      <c r="I281" s="209">
        <v>0</v>
      </c>
      <c r="J281" s="241" t="e">
        <f t="shared" si="22"/>
        <v>#DIV/0!</v>
      </c>
      <c r="K281" s="118"/>
      <c r="L281" s="119" t="e">
        <f t="shared" si="21"/>
        <v>#DIV/0!</v>
      </c>
    </row>
    <row r="282" spans="1:12" s="4" customFormat="1" ht="35.25" customHeight="1">
      <c r="A282" s="44" t="s">
        <v>303</v>
      </c>
      <c r="B282" s="24" t="s">
        <v>326</v>
      </c>
      <c r="C282" s="24" t="s">
        <v>326</v>
      </c>
      <c r="D282" s="54" t="s">
        <v>262</v>
      </c>
      <c r="E282" s="24" t="s">
        <v>347</v>
      </c>
      <c r="F282" s="216">
        <f>F283+F290</f>
        <v>3587.79824</v>
      </c>
      <c r="G282" s="216">
        <f>G283+G290</f>
        <v>3586.103</v>
      </c>
      <c r="H282" s="216">
        <f>H283+H290</f>
        <v>1.69524</v>
      </c>
      <c r="I282" s="216">
        <f>I283+I290</f>
        <v>3131.50011</v>
      </c>
      <c r="J282" s="241">
        <f t="shared" si="22"/>
        <v>87.2819456536664</v>
      </c>
      <c r="K282" s="118">
        <f>K283</f>
        <v>2208.395</v>
      </c>
      <c r="L282" s="119">
        <f t="shared" si="21"/>
        <v>87.2819456536664</v>
      </c>
    </row>
    <row r="283" spans="1:12" s="4" customFormat="1" ht="15.75" customHeight="1">
      <c r="A283" s="44" t="s">
        <v>115</v>
      </c>
      <c r="B283" s="24" t="s">
        <v>326</v>
      </c>
      <c r="C283" s="24" t="s">
        <v>326</v>
      </c>
      <c r="D283" s="54" t="s">
        <v>8</v>
      </c>
      <c r="E283" s="24" t="s">
        <v>347</v>
      </c>
      <c r="F283" s="216">
        <f t="shared" si="13"/>
        <v>3586.103</v>
      </c>
      <c r="G283" s="209">
        <f aca="true" t="shared" si="24" ref="G283:I284">G284</f>
        <v>3586.103</v>
      </c>
      <c r="H283" s="209">
        <f t="shared" si="24"/>
        <v>0</v>
      </c>
      <c r="I283" s="209">
        <f t="shared" si="24"/>
        <v>3129.80487</v>
      </c>
      <c r="J283" s="241">
        <f t="shared" si="22"/>
        <v>87.27593351334303</v>
      </c>
      <c r="K283" s="118">
        <f>K284</f>
        <v>2208.395</v>
      </c>
      <c r="L283" s="119">
        <f t="shared" si="21"/>
        <v>87.27593351334303</v>
      </c>
    </row>
    <row r="284" spans="1:12" s="4" customFormat="1" ht="33" customHeight="1">
      <c r="A284" s="51" t="s">
        <v>116</v>
      </c>
      <c r="B284" s="45" t="s">
        <v>326</v>
      </c>
      <c r="C284" s="45" t="s">
        <v>326</v>
      </c>
      <c r="D284" s="80" t="s">
        <v>11</v>
      </c>
      <c r="E284" s="45" t="s">
        <v>347</v>
      </c>
      <c r="F284" s="218">
        <f t="shared" si="13"/>
        <v>3586.103</v>
      </c>
      <c r="G284" s="219">
        <f t="shared" si="24"/>
        <v>3586.103</v>
      </c>
      <c r="H284" s="219">
        <f t="shared" si="24"/>
        <v>0</v>
      </c>
      <c r="I284" s="219">
        <f t="shared" si="24"/>
        <v>3129.80487</v>
      </c>
      <c r="J284" s="242">
        <f t="shared" si="22"/>
        <v>87.27593351334303</v>
      </c>
      <c r="K284" s="142">
        <f>K285+K287</f>
        <v>2208.395</v>
      </c>
      <c r="L284" s="119">
        <f t="shared" si="21"/>
        <v>87.27593351334303</v>
      </c>
    </row>
    <row r="285" spans="1:12" s="4" customFormat="1" ht="62.25" customHeight="1">
      <c r="A285" s="44" t="s">
        <v>327</v>
      </c>
      <c r="B285" s="24" t="s">
        <v>326</v>
      </c>
      <c r="C285" s="24" t="s">
        <v>326</v>
      </c>
      <c r="D285" s="54" t="s">
        <v>11</v>
      </c>
      <c r="E285" s="24" t="s">
        <v>347</v>
      </c>
      <c r="F285" s="216">
        <f>F286+F288</f>
        <v>3586.103</v>
      </c>
      <c r="G285" s="216">
        <f>G286+G288</f>
        <v>3586.103</v>
      </c>
      <c r="H285" s="216">
        <f>H286+H288</f>
        <v>0</v>
      </c>
      <c r="I285" s="216">
        <f>I286+I288</f>
        <v>3129.80487</v>
      </c>
      <c r="J285" s="241">
        <f t="shared" si="22"/>
        <v>87.27593351334303</v>
      </c>
      <c r="K285" s="118">
        <f>K286</f>
        <v>0</v>
      </c>
      <c r="L285" s="119">
        <f t="shared" si="21"/>
        <v>87.27593351334303</v>
      </c>
    </row>
    <row r="286" spans="1:12" s="4" customFormat="1" ht="95.25" customHeight="1">
      <c r="A286" s="44" t="s">
        <v>148</v>
      </c>
      <c r="B286" s="24" t="s">
        <v>326</v>
      </c>
      <c r="C286" s="24" t="s">
        <v>326</v>
      </c>
      <c r="D286" s="54" t="s">
        <v>11</v>
      </c>
      <c r="E286" s="24" t="s">
        <v>117</v>
      </c>
      <c r="F286" s="216">
        <f t="shared" si="13"/>
        <v>3234.81</v>
      </c>
      <c r="G286" s="209">
        <f>G287</f>
        <v>3234.81</v>
      </c>
      <c r="H286" s="209"/>
      <c r="I286" s="209">
        <v>2808.55414</v>
      </c>
      <c r="J286" s="241">
        <f t="shared" si="22"/>
        <v>86.82284709148297</v>
      </c>
      <c r="K286" s="118">
        <v>0</v>
      </c>
      <c r="L286" s="119">
        <f t="shared" si="21"/>
        <v>86.82284709148297</v>
      </c>
    </row>
    <row r="287" spans="1:12" s="4" customFormat="1" ht="33" customHeight="1" hidden="1">
      <c r="A287" s="74" t="s">
        <v>150</v>
      </c>
      <c r="B287" s="24" t="s">
        <v>326</v>
      </c>
      <c r="C287" s="24" t="s">
        <v>326</v>
      </c>
      <c r="D287" s="54" t="s">
        <v>11</v>
      </c>
      <c r="E287" s="24" t="s">
        <v>149</v>
      </c>
      <c r="F287" s="216">
        <f t="shared" si="13"/>
        <v>3234.81</v>
      </c>
      <c r="G287" s="209">
        <f>2484.49+20+750.32-20</f>
        <v>3234.81</v>
      </c>
      <c r="H287" s="209"/>
      <c r="I287" s="209">
        <v>2808.55414</v>
      </c>
      <c r="J287" s="241">
        <f t="shared" si="22"/>
        <v>86.82284709148297</v>
      </c>
      <c r="K287" s="118">
        <f>K288</f>
        <v>2208.395</v>
      </c>
      <c r="L287" s="119">
        <f t="shared" si="21"/>
        <v>86.82284709148297</v>
      </c>
    </row>
    <row r="288" spans="1:12" s="4" customFormat="1" ht="33.75" customHeight="1" hidden="1">
      <c r="A288" s="44" t="s">
        <v>151</v>
      </c>
      <c r="B288" s="24" t="s">
        <v>326</v>
      </c>
      <c r="C288" s="24" t="s">
        <v>326</v>
      </c>
      <c r="D288" s="54" t="s">
        <v>11</v>
      </c>
      <c r="E288" s="24" t="s">
        <v>121</v>
      </c>
      <c r="F288" s="216">
        <f t="shared" si="13"/>
        <v>351.293</v>
      </c>
      <c r="G288" s="209">
        <f>G289</f>
        <v>351.293</v>
      </c>
      <c r="H288" s="209"/>
      <c r="I288" s="209">
        <f>I289</f>
        <v>321.25073</v>
      </c>
      <c r="J288" s="241">
        <f t="shared" si="22"/>
        <v>91.44808749391532</v>
      </c>
      <c r="K288" s="125">
        <v>2208.395</v>
      </c>
      <c r="L288" s="119">
        <f t="shared" si="21"/>
        <v>91.44808749391532</v>
      </c>
    </row>
    <row r="289" spans="1:12" s="4" customFormat="1" ht="50.25" customHeight="1" hidden="1">
      <c r="A289" s="74" t="s">
        <v>152</v>
      </c>
      <c r="B289" s="24" t="s">
        <v>326</v>
      </c>
      <c r="C289" s="24" t="s">
        <v>326</v>
      </c>
      <c r="D289" s="54" t="s">
        <v>11</v>
      </c>
      <c r="E289" s="24" t="s">
        <v>153</v>
      </c>
      <c r="F289" s="216">
        <f t="shared" si="13"/>
        <v>351.293</v>
      </c>
      <c r="G289" s="209">
        <f>97.993-10+20+337-93.7</f>
        <v>351.293</v>
      </c>
      <c r="H289" s="209"/>
      <c r="I289" s="209">
        <v>321.25073</v>
      </c>
      <c r="J289" s="241">
        <f t="shared" si="22"/>
        <v>91.44808749391532</v>
      </c>
      <c r="K289" s="143"/>
      <c r="L289" s="119">
        <f t="shared" si="21"/>
        <v>91.44808749391532</v>
      </c>
    </row>
    <row r="290" spans="1:12" s="4" customFormat="1" ht="35.25" customHeight="1" hidden="1">
      <c r="A290" s="62" t="s">
        <v>622</v>
      </c>
      <c r="B290" s="45" t="s">
        <v>326</v>
      </c>
      <c r="C290" s="45" t="s">
        <v>326</v>
      </c>
      <c r="D290" s="80" t="s">
        <v>23</v>
      </c>
      <c r="E290" s="45" t="s">
        <v>347</v>
      </c>
      <c r="F290" s="218">
        <f t="shared" si="13"/>
        <v>1.69524</v>
      </c>
      <c r="G290" s="219"/>
      <c r="H290" s="219">
        <f>H291+H293</f>
        <v>1.69524</v>
      </c>
      <c r="I290" s="219">
        <f>I291</f>
        <v>1.69524</v>
      </c>
      <c r="J290" s="242">
        <f t="shared" si="22"/>
        <v>100</v>
      </c>
      <c r="K290" s="118"/>
      <c r="L290" s="119">
        <f t="shared" si="21"/>
        <v>100</v>
      </c>
    </row>
    <row r="291" spans="1:12" ht="46.5" customHeight="1" hidden="1">
      <c r="A291" s="74" t="s">
        <v>301</v>
      </c>
      <c r="B291" s="24" t="s">
        <v>326</v>
      </c>
      <c r="C291" s="24" t="s">
        <v>326</v>
      </c>
      <c r="D291" s="54" t="s">
        <v>23</v>
      </c>
      <c r="E291" s="24" t="s">
        <v>117</v>
      </c>
      <c r="F291" s="216">
        <f t="shared" si="13"/>
        <v>1.69524</v>
      </c>
      <c r="G291" s="209"/>
      <c r="H291" s="209">
        <f>H292</f>
        <v>1.69524</v>
      </c>
      <c r="I291" s="209">
        <f>I292</f>
        <v>1.69524</v>
      </c>
      <c r="J291" s="241">
        <f t="shared" si="22"/>
        <v>100</v>
      </c>
      <c r="K291" s="118"/>
      <c r="L291" s="119">
        <f t="shared" si="21"/>
        <v>100</v>
      </c>
    </row>
    <row r="292" spans="1:12" s="4" customFormat="1" ht="31.5" customHeight="1" hidden="1">
      <c r="A292" s="74" t="s">
        <v>150</v>
      </c>
      <c r="B292" s="24" t="s">
        <v>326</v>
      </c>
      <c r="C292" s="24" t="s">
        <v>326</v>
      </c>
      <c r="D292" s="54" t="s">
        <v>23</v>
      </c>
      <c r="E292" s="24" t="s">
        <v>149</v>
      </c>
      <c r="F292" s="216">
        <f t="shared" si="13"/>
        <v>1.69524</v>
      </c>
      <c r="G292" s="209"/>
      <c r="H292" s="209">
        <v>1.69524</v>
      </c>
      <c r="I292" s="209">
        <v>1.69524</v>
      </c>
      <c r="J292" s="241">
        <f t="shared" si="22"/>
        <v>100</v>
      </c>
      <c r="K292" s="142">
        <f>K306+K313</f>
        <v>0</v>
      </c>
      <c r="L292" s="119">
        <f t="shared" si="21"/>
        <v>100</v>
      </c>
    </row>
    <row r="293" spans="1:12" s="4" customFormat="1" ht="34.5" customHeight="1" hidden="1">
      <c r="A293" s="74" t="s">
        <v>151</v>
      </c>
      <c r="B293" s="24" t="s">
        <v>326</v>
      </c>
      <c r="C293" s="24" t="s">
        <v>326</v>
      </c>
      <c r="D293" s="54" t="s">
        <v>23</v>
      </c>
      <c r="E293" s="24" t="s">
        <v>121</v>
      </c>
      <c r="F293" s="216">
        <f t="shared" si="13"/>
        <v>0</v>
      </c>
      <c r="G293" s="209"/>
      <c r="H293" s="209">
        <f>H294</f>
        <v>0</v>
      </c>
      <c r="I293" s="209">
        <v>0</v>
      </c>
      <c r="J293" s="241" t="e">
        <f t="shared" si="22"/>
        <v>#DIV/0!</v>
      </c>
      <c r="K293" s="118">
        <f>K294</f>
        <v>0</v>
      </c>
      <c r="L293" s="119" t="e">
        <f t="shared" si="21"/>
        <v>#DIV/0!</v>
      </c>
    </row>
    <row r="294" spans="1:12" s="4" customFormat="1" ht="32.25" customHeight="1" hidden="1">
      <c r="A294" s="74" t="s">
        <v>152</v>
      </c>
      <c r="B294" s="24" t="s">
        <v>326</v>
      </c>
      <c r="C294" s="24" t="s">
        <v>326</v>
      </c>
      <c r="D294" s="54" t="s">
        <v>23</v>
      </c>
      <c r="E294" s="24" t="s">
        <v>153</v>
      </c>
      <c r="F294" s="216">
        <f t="shared" si="13"/>
        <v>0</v>
      </c>
      <c r="G294" s="209"/>
      <c r="H294" s="209">
        <v>0</v>
      </c>
      <c r="I294" s="209">
        <v>0</v>
      </c>
      <c r="J294" s="241" t="e">
        <f t="shared" si="22"/>
        <v>#DIV/0!</v>
      </c>
      <c r="K294" s="118">
        <f>SUM(K295:K301)</f>
        <v>0</v>
      </c>
      <c r="L294" s="119" t="e">
        <f t="shared" si="21"/>
        <v>#DIV/0!</v>
      </c>
    </row>
    <row r="295" spans="1:12" s="4" customFormat="1" ht="26.25" customHeight="1">
      <c r="A295" s="287" t="s">
        <v>328</v>
      </c>
      <c r="B295" s="288" t="s">
        <v>329</v>
      </c>
      <c r="C295" s="288" t="s">
        <v>113</v>
      </c>
      <c r="D295" s="302" t="s">
        <v>262</v>
      </c>
      <c r="E295" s="288" t="s">
        <v>347</v>
      </c>
      <c r="F295" s="289">
        <f>F296+F313+F351+F369+F374+F389</f>
        <v>548725.3422300001</v>
      </c>
      <c r="G295" s="289">
        <f>G296+G313+G352+G373+G374+G389</f>
        <v>316848.99468000006</v>
      </c>
      <c r="H295" s="289">
        <f>H296+H313+H352+H373+H374+H389</f>
        <v>231686.68719</v>
      </c>
      <c r="I295" s="289">
        <f>I296+I313+I352+I373+I374+I389</f>
        <v>508291.66839</v>
      </c>
      <c r="J295" s="290">
        <f t="shared" si="22"/>
        <v>92.63134564267087</v>
      </c>
      <c r="K295" s="141"/>
      <c r="L295" s="277">
        <f t="shared" si="21"/>
        <v>92.63134564267087</v>
      </c>
    </row>
    <row r="296" spans="1:12" s="47" customFormat="1" ht="16.5" customHeight="1">
      <c r="A296" s="264" t="s">
        <v>338</v>
      </c>
      <c r="B296" s="265" t="s">
        <v>329</v>
      </c>
      <c r="C296" s="265" t="s">
        <v>112</v>
      </c>
      <c r="D296" s="299" t="s">
        <v>262</v>
      </c>
      <c r="E296" s="265" t="s">
        <v>347</v>
      </c>
      <c r="F296" s="266">
        <f>F297+F308</f>
        <v>118336.94755000001</v>
      </c>
      <c r="G296" s="266">
        <f>G297+G308</f>
        <v>70291.41955</v>
      </c>
      <c r="H296" s="266">
        <f>H297+H308</f>
        <v>48045.528</v>
      </c>
      <c r="I296" s="266">
        <f>I297+I308</f>
        <v>99307.00591</v>
      </c>
      <c r="J296" s="268">
        <f t="shared" si="22"/>
        <v>83.9188503388095</v>
      </c>
      <c r="K296" s="306"/>
      <c r="L296" s="277">
        <f t="shared" si="21"/>
        <v>83.9188503388095</v>
      </c>
    </row>
    <row r="297" spans="1:12" s="43" customFormat="1" ht="47.25" customHeight="1">
      <c r="A297" s="51" t="s">
        <v>407</v>
      </c>
      <c r="B297" s="45" t="s">
        <v>329</v>
      </c>
      <c r="C297" s="45" t="s">
        <v>112</v>
      </c>
      <c r="D297" s="80" t="s">
        <v>25</v>
      </c>
      <c r="E297" s="45" t="s">
        <v>347</v>
      </c>
      <c r="F297" s="218">
        <f>G297+H297</f>
        <v>70291.41955</v>
      </c>
      <c r="G297" s="219">
        <f>G298</f>
        <v>70291.41955</v>
      </c>
      <c r="H297" s="219">
        <f>H298</f>
        <v>0</v>
      </c>
      <c r="I297" s="217">
        <f>I298</f>
        <v>51261.47791</v>
      </c>
      <c r="J297" s="148">
        <f t="shared" si="22"/>
        <v>72.92707735620057</v>
      </c>
      <c r="K297" s="152"/>
      <c r="L297" s="121">
        <f t="shared" si="21"/>
        <v>72.92707735620057</v>
      </c>
    </row>
    <row r="298" spans="1:12" s="4" customFormat="1" ht="49.5" customHeight="1">
      <c r="A298" s="52" t="s">
        <v>209</v>
      </c>
      <c r="B298" s="24" t="s">
        <v>329</v>
      </c>
      <c r="C298" s="24" t="s">
        <v>112</v>
      </c>
      <c r="D298" s="54" t="s">
        <v>38</v>
      </c>
      <c r="E298" s="24" t="s">
        <v>347</v>
      </c>
      <c r="F298" s="216">
        <f>F299+F301</f>
        <v>70291.41955</v>
      </c>
      <c r="G298" s="216">
        <f>G299+G301</f>
        <v>70291.41955</v>
      </c>
      <c r="H298" s="216">
        <f>H299+H301</f>
        <v>0</v>
      </c>
      <c r="I298" s="216">
        <f>I299+I301</f>
        <v>51261.47791</v>
      </c>
      <c r="J298" s="148">
        <f t="shared" si="22"/>
        <v>72.92707735620057</v>
      </c>
      <c r="K298" s="118"/>
      <c r="L298" s="119">
        <f t="shared" si="21"/>
        <v>72.92707735620057</v>
      </c>
    </row>
    <row r="299" spans="1:12" s="4" customFormat="1" ht="33.75" customHeight="1">
      <c r="A299" s="44" t="s">
        <v>174</v>
      </c>
      <c r="B299" s="24" t="s">
        <v>329</v>
      </c>
      <c r="C299" s="24" t="s">
        <v>112</v>
      </c>
      <c r="D299" s="54" t="s">
        <v>40</v>
      </c>
      <c r="E299" s="24" t="s">
        <v>175</v>
      </c>
      <c r="F299" s="216">
        <f t="shared" si="13"/>
        <v>840</v>
      </c>
      <c r="G299" s="209">
        <f>G300</f>
        <v>840</v>
      </c>
      <c r="H299" s="209">
        <f>H300</f>
        <v>0</v>
      </c>
      <c r="I299" s="217">
        <f>I300</f>
        <v>827.2355</v>
      </c>
      <c r="J299" s="148">
        <f t="shared" si="22"/>
        <v>98.48041666666667</v>
      </c>
      <c r="K299" s="118"/>
      <c r="L299" s="121">
        <f t="shared" si="21"/>
        <v>98.48041666666667</v>
      </c>
    </row>
    <row r="300" spans="1:12" s="43" customFormat="1" ht="25.5" customHeight="1">
      <c r="A300" s="44" t="s">
        <v>176</v>
      </c>
      <c r="B300" s="24" t="s">
        <v>329</v>
      </c>
      <c r="C300" s="24" t="s">
        <v>112</v>
      </c>
      <c r="D300" s="54" t="s">
        <v>39</v>
      </c>
      <c r="E300" s="24" t="s">
        <v>240</v>
      </c>
      <c r="F300" s="216">
        <f t="shared" si="13"/>
        <v>840</v>
      </c>
      <c r="G300" s="209">
        <v>840</v>
      </c>
      <c r="H300" s="209"/>
      <c r="I300" s="217">
        <v>827.2355</v>
      </c>
      <c r="J300" s="148">
        <f t="shared" si="22"/>
        <v>98.48041666666667</v>
      </c>
      <c r="K300" s="120"/>
      <c r="L300" s="121">
        <f t="shared" si="21"/>
        <v>98.48041666666667</v>
      </c>
    </row>
    <row r="301" spans="1:12" s="4" customFormat="1" ht="48.75" customHeight="1">
      <c r="A301" s="44" t="s">
        <v>330</v>
      </c>
      <c r="B301" s="24" t="s">
        <v>329</v>
      </c>
      <c r="C301" s="24" t="s">
        <v>112</v>
      </c>
      <c r="D301" s="54" t="s">
        <v>40</v>
      </c>
      <c r="E301" s="24" t="s">
        <v>347</v>
      </c>
      <c r="F301" s="216">
        <f t="shared" si="13"/>
        <v>69451.41955</v>
      </c>
      <c r="G301" s="209">
        <f>G302</f>
        <v>69451.41955</v>
      </c>
      <c r="H301" s="209">
        <f>SUM(H302:H303)</f>
        <v>0</v>
      </c>
      <c r="I301" s="217">
        <f>I302</f>
        <v>50434.24241</v>
      </c>
      <c r="J301" s="148">
        <f t="shared" si="22"/>
        <v>72.61801520657326</v>
      </c>
      <c r="K301" s="118"/>
      <c r="L301" s="119">
        <f t="shared" si="21"/>
        <v>72.61801520657326</v>
      </c>
    </row>
    <row r="302" spans="1:12" s="4" customFormat="1" ht="32.25" customHeight="1">
      <c r="A302" s="44" t="s">
        <v>174</v>
      </c>
      <c r="B302" s="24" t="s">
        <v>329</v>
      </c>
      <c r="C302" s="24" t="s">
        <v>112</v>
      </c>
      <c r="D302" s="54" t="s">
        <v>41</v>
      </c>
      <c r="E302" s="24" t="s">
        <v>175</v>
      </c>
      <c r="F302" s="216">
        <f t="shared" si="13"/>
        <v>69451.41955</v>
      </c>
      <c r="G302" s="209">
        <f>G303</f>
        <v>69451.41955</v>
      </c>
      <c r="H302" s="209"/>
      <c r="I302" s="217">
        <f>I303</f>
        <v>50434.24241</v>
      </c>
      <c r="J302" s="148">
        <f t="shared" si="22"/>
        <v>72.61801520657326</v>
      </c>
      <c r="K302" s="153"/>
      <c r="L302" s="119">
        <f t="shared" si="21"/>
        <v>72.61801520657326</v>
      </c>
    </row>
    <row r="303" spans="1:12" s="4" customFormat="1" ht="31.5" customHeight="1">
      <c r="A303" s="44" t="s">
        <v>176</v>
      </c>
      <c r="B303" s="24" t="s">
        <v>329</v>
      </c>
      <c r="C303" s="24" t="s">
        <v>112</v>
      </c>
      <c r="D303" s="54" t="s">
        <v>41</v>
      </c>
      <c r="E303" s="24" t="s">
        <v>240</v>
      </c>
      <c r="F303" s="216">
        <f t="shared" si="13"/>
        <v>69451.41955</v>
      </c>
      <c r="G303" s="209">
        <f>25796.6+9000+2000+11611.95+5717.64+2271.60247+1000-2000+14053.62708</f>
        <v>69451.41955</v>
      </c>
      <c r="H303" s="209"/>
      <c r="I303" s="217">
        <v>50434.24241</v>
      </c>
      <c r="J303" s="148">
        <f t="shared" si="22"/>
        <v>72.61801520657326</v>
      </c>
      <c r="K303" s="129"/>
      <c r="L303" s="119">
        <f t="shared" si="21"/>
        <v>72.61801520657326</v>
      </c>
    </row>
    <row r="304" spans="1:12" s="4" customFormat="1" ht="48.75" customHeight="1" hidden="1">
      <c r="A304" s="56" t="s">
        <v>518</v>
      </c>
      <c r="B304" s="101" t="s">
        <v>329</v>
      </c>
      <c r="C304" s="101" t="s">
        <v>112</v>
      </c>
      <c r="D304" s="108" t="s">
        <v>262</v>
      </c>
      <c r="E304" s="101" t="s">
        <v>347</v>
      </c>
      <c r="F304" s="234">
        <f>G304</f>
        <v>0</v>
      </c>
      <c r="G304" s="230">
        <f>G305</f>
        <v>0</v>
      </c>
      <c r="H304" s="230"/>
      <c r="I304" s="235">
        <v>0</v>
      </c>
      <c r="J304" s="151" t="e">
        <f>I304/F304*100</f>
        <v>#DIV/0!</v>
      </c>
      <c r="K304" s="126"/>
      <c r="L304" s="119" t="e">
        <f aca="true" t="shared" si="25" ref="L304:L327">I304/F304*100</f>
        <v>#DIV/0!</v>
      </c>
    </row>
    <row r="305" spans="1:12" s="4" customFormat="1" ht="33.75" customHeight="1" hidden="1">
      <c r="A305" s="44" t="s">
        <v>519</v>
      </c>
      <c r="B305" s="24" t="s">
        <v>329</v>
      </c>
      <c r="C305" s="24" t="s">
        <v>112</v>
      </c>
      <c r="D305" s="54" t="s">
        <v>520</v>
      </c>
      <c r="E305" s="24" t="s">
        <v>347</v>
      </c>
      <c r="F305" s="216">
        <f>G305</f>
        <v>0</v>
      </c>
      <c r="G305" s="209">
        <f>G306</f>
        <v>0</v>
      </c>
      <c r="H305" s="209"/>
      <c r="I305" s="217">
        <v>0</v>
      </c>
      <c r="J305" s="148" t="e">
        <f t="shared" si="22"/>
        <v>#DIV/0!</v>
      </c>
      <c r="K305" s="118"/>
      <c r="L305" s="119" t="e">
        <f t="shared" si="25"/>
        <v>#DIV/0!</v>
      </c>
    </row>
    <row r="306" spans="1:12" s="4" customFormat="1" ht="30" customHeight="1" hidden="1">
      <c r="A306" s="44" t="s">
        <v>174</v>
      </c>
      <c r="B306" s="24" t="s">
        <v>329</v>
      </c>
      <c r="C306" s="24" t="s">
        <v>112</v>
      </c>
      <c r="D306" s="54" t="s">
        <v>520</v>
      </c>
      <c r="E306" s="24" t="s">
        <v>175</v>
      </c>
      <c r="F306" s="216">
        <f>G306</f>
        <v>0</v>
      </c>
      <c r="G306" s="209">
        <f>G307</f>
        <v>0</v>
      </c>
      <c r="H306" s="209"/>
      <c r="I306" s="217">
        <v>0</v>
      </c>
      <c r="J306" s="148" t="e">
        <f t="shared" si="22"/>
        <v>#DIV/0!</v>
      </c>
      <c r="K306" s="79">
        <f>K307</f>
        <v>0</v>
      </c>
      <c r="L306" s="119" t="e">
        <f t="shared" si="25"/>
        <v>#DIV/0!</v>
      </c>
    </row>
    <row r="307" spans="1:12" s="4" customFormat="1" ht="52.5" customHeight="1" hidden="1">
      <c r="A307" s="44" t="s">
        <v>176</v>
      </c>
      <c r="B307" s="24" t="s">
        <v>329</v>
      </c>
      <c r="C307" s="24" t="s">
        <v>112</v>
      </c>
      <c r="D307" s="54" t="s">
        <v>520</v>
      </c>
      <c r="E307" s="24" t="s">
        <v>240</v>
      </c>
      <c r="F307" s="216">
        <f>G307</f>
        <v>0</v>
      </c>
      <c r="G307" s="209"/>
      <c r="H307" s="209"/>
      <c r="I307" s="217">
        <v>0</v>
      </c>
      <c r="J307" s="148" t="e">
        <f t="shared" si="22"/>
        <v>#DIV/0!</v>
      </c>
      <c r="K307" s="118"/>
      <c r="L307" s="119" t="e">
        <f t="shared" si="25"/>
        <v>#DIV/0!</v>
      </c>
    </row>
    <row r="308" spans="1:12" s="4" customFormat="1" ht="48.75" customHeight="1">
      <c r="A308" s="51" t="s">
        <v>407</v>
      </c>
      <c r="B308" s="45" t="s">
        <v>329</v>
      </c>
      <c r="C308" s="45" t="s">
        <v>112</v>
      </c>
      <c r="D308" s="80" t="s">
        <v>25</v>
      </c>
      <c r="E308" s="45" t="s">
        <v>347</v>
      </c>
      <c r="F308" s="218">
        <f>G308+H308</f>
        <v>48045.528</v>
      </c>
      <c r="G308" s="219">
        <v>0</v>
      </c>
      <c r="H308" s="219">
        <f>H309</f>
        <v>48045.528</v>
      </c>
      <c r="I308" s="220">
        <f>I309</f>
        <v>48045.528</v>
      </c>
      <c r="J308" s="149">
        <f t="shared" si="22"/>
        <v>100</v>
      </c>
      <c r="K308" s="118"/>
      <c r="L308" s="119">
        <f t="shared" si="25"/>
        <v>100</v>
      </c>
    </row>
    <row r="309" spans="1:12" s="4" customFormat="1" ht="31.5" customHeight="1">
      <c r="A309" s="52" t="s">
        <v>209</v>
      </c>
      <c r="B309" s="24" t="s">
        <v>329</v>
      </c>
      <c r="C309" s="24" t="s">
        <v>112</v>
      </c>
      <c r="D309" s="54" t="s">
        <v>38</v>
      </c>
      <c r="E309" s="24" t="s">
        <v>347</v>
      </c>
      <c r="F309" s="216">
        <f>G309+H309</f>
        <v>48045.528</v>
      </c>
      <c r="G309" s="209">
        <v>0</v>
      </c>
      <c r="H309" s="209">
        <f>H310</f>
        <v>48045.528</v>
      </c>
      <c r="I309" s="217">
        <v>48045.528</v>
      </c>
      <c r="J309" s="148">
        <f t="shared" si="22"/>
        <v>100</v>
      </c>
      <c r="K309" s="118"/>
      <c r="L309" s="119">
        <f t="shared" si="25"/>
        <v>100</v>
      </c>
    </row>
    <row r="310" spans="1:12" s="4" customFormat="1" ht="81.75" customHeight="1">
      <c r="A310" s="51" t="s">
        <v>334</v>
      </c>
      <c r="B310" s="45" t="s">
        <v>329</v>
      </c>
      <c r="C310" s="247" t="s">
        <v>112</v>
      </c>
      <c r="D310" s="80" t="s">
        <v>42</v>
      </c>
      <c r="E310" s="45" t="s">
        <v>347</v>
      </c>
      <c r="F310" s="218">
        <f t="shared" si="13"/>
        <v>48045.528</v>
      </c>
      <c r="G310" s="219">
        <f>G311</f>
        <v>0</v>
      </c>
      <c r="H310" s="219">
        <f>H311</f>
        <v>48045.528</v>
      </c>
      <c r="I310" s="220">
        <f>I311</f>
        <v>48045.528</v>
      </c>
      <c r="J310" s="149">
        <f t="shared" si="22"/>
        <v>100</v>
      </c>
      <c r="K310" s="118"/>
      <c r="L310" s="119">
        <f t="shared" si="25"/>
        <v>100</v>
      </c>
    </row>
    <row r="311" spans="1:12" s="4" customFormat="1" ht="34.5" customHeight="1">
      <c r="A311" s="44" t="s">
        <v>174</v>
      </c>
      <c r="B311" s="24" t="s">
        <v>329</v>
      </c>
      <c r="C311" s="24" t="s">
        <v>112</v>
      </c>
      <c r="D311" s="54" t="s">
        <v>42</v>
      </c>
      <c r="E311" s="24" t="s">
        <v>175</v>
      </c>
      <c r="F311" s="216">
        <f t="shared" si="13"/>
        <v>48045.528</v>
      </c>
      <c r="G311" s="209">
        <v>0</v>
      </c>
      <c r="H311" s="209">
        <f>H312</f>
        <v>48045.528</v>
      </c>
      <c r="I311" s="217">
        <f>I312</f>
        <v>48045.528</v>
      </c>
      <c r="J311" s="148">
        <f t="shared" si="22"/>
        <v>100</v>
      </c>
      <c r="K311" s="118"/>
      <c r="L311" s="119">
        <f t="shared" si="25"/>
        <v>100</v>
      </c>
    </row>
    <row r="312" spans="1:12" s="4" customFormat="1" ht="24" customHeight="1">
      <c r="A312" s="44" t="s">
        <v>176</v>
      </c>
      <c r="B312" s="24" t="s">
        <v>329</v>
      </c>
      <c r="C312" s="24" t="s">
        <v>112</v>
      </c>
      <c r="D312" s="54" t="s">
        <v>42</v>
      </c>
      <c r="E312" s="24" t="s">
        <v>240</v>
      </c>
      <c r="F312" s="216">
        <f t="shared" si="13"/>
        <v>48045.528</v>
      </c>
      <c r="G312" s="209">
        <v>0</v>
      </c>
      <c r="H312" s="209">
        <v>48045.528</v>
      </c>
      <c r="I312" s="217">
        <v>48045.528</v>
      </c>
      <c r="J312" s="148">
        <f t="shared" si="22"/>
        <v>100</v>
      </c>
      <c r="K312" s="118"/>
      <c r="L312" s="121">
        <f t="shared" si="25"/>
        <v>100</v>
      </c>
    </row>
    <row r="313" spans="1:12" s="4" customFormat="1" ht="34.5" customHeight="1">
      <c r="A313" s="264" t="s">
        <v>381</v>
      </c>
      <c r="B313" s="265" t="s">
        <v>329</v>
      </c>
      <c r="C313" s="265" t="s">
        <v>114</v>
      </c>
      <c r="D313" s="299" t="s">
        <v>262</v>
      </c>
      <c r="E313" s="265" t="s">
        <v>347</v>
      </c>
      <c r="F313" s="266">
        <f>F314+F336+F348</f>
        <v>340683.51788000006</v>
      </c>
      <c r="G313" s="266">
        <f>G314+G336+G348</f>
        <v>162216.00788000002</v>
      </c>
      <c r="H313" s="266">
        <f>H314+H336+H348</f>
        <v>178467.51</v>
      </c>
      <c r="I313" s="266">
        <f>I314+I336+I348</f>
        <v>323261.17955</v>
      </c>
      <c r="J313" s="268">
        <f t="shared" si="22"/>
        <v>94.88606362925465</v>
      </c>
      <c r="K313" s="276">
        <f>K314</f>
        <v>0</v>
      </c>
      <c r="L313" s="275">
        <f t="shared" si="25"/>
        <v>94.88606362925465</v>
      </c>
    </row>
    <row r="314" spans="1:12" s="4" customFormat="1" ht="47.25" customHeight="1">
      <c r="A314" s="51" t="s">
        <v>407</v>
      </c>
      <c r="B314" s="45" t="s">
        <v>329</v>
      </c>
      <c r="C314" s="45" t="s">
        <v>114</v>
      </c>
      <c r="D314" s="80" t="s">
        <v>25</v>
      </c>
      <c r="E314" s="45" t="s">
        <v>347</v>
      </c>
      <c r="F314" s="218">
        <f>F315+F322</f>
        <v>162216.00788000002</v>
      </c>
      <c r="G314" s="218">
        <f>G315+G322</f>
        <v>162216.00788000002</v>
      </c>
      <c r="H314" s="218">
        <f>H315+H322</f>
        <v>0</v>
      </c>
      <c r="I314" s="218">
        <f>I315+I322</f>
        <v>146588.10627</v>
      </c>
      <c r="J314" s="149">
        <f t="shared" si="22"/>
        <v>90.36599296565056</v>
      </c>
      <c r="K314" s="118">
        <f>K315</f>
        <v>0</v>
      </c>
      <c r="L314" s="119">
        <f t="shared" si="25"/>
        <v>90.36599296565056</v>
      </c>
    </row>
    <row r="315" spans="1:12" s="4" customFormat="1" ht="36.75" customHeight="1">
      <c r="A315" s="52" t="s">
        <v>411</v>
      </c>
      <c r="B315" s="24" t="s">
        <v>329</v>
      </c>
      <c r="C315" s="24" t="s">
        <v>114</v>
      </c>
      <c r="D315" s="54" t="s">
        <v>43</v>
      </c>
      <c r="E315" s="24" t="s">
        <v>347</v>
      </c>
      <c r="F315" s="216">
        <f>F316+F319</f>
        <v>159408.00788000002</v>
      </c>
      <c r="G315" s="216">
        <f>G316+G319</f>
        <v>159408.00788000002</v>
      </c>
      <c r="H315" s="216">
        <f>H316+H319</f>
        <v>0</v>
      </c>
      <c r="I315" s="216">
        <f>I316+I319</f>
        <v>143792.98815999998</v>
      </c>
      <c r="J315" s="148">
        <f t="shared" si="22"/>
        <v>90.20436932393335</v>
      </c>
      <c r="K315" s="118"/>
      <c r="L315" s="119">
        <f t="shared" si="25"/>
        <v>90.20436932393335</v>
      </c>
    </row>
    <row r="316" spans="1:12" s="43" customFormat="1" ht="48.75" customHeight="1">
      <c r="A316" s="44" t="s">
        <v>204</v>
      </c>
      <c r="B316" s="24" t="s">
        <v>329</v>
      </c>
      <c r="C316" s="24" t="s">
        <v>114</v>
      </c>
      <c r="D316" s="54" t="s">
        <v>44</v>
      </c>
      <c r="E316" s="24" t="s">
        <v>347</v>
      </c>
      <c r="F316" s="216">
        <f t="shared" si="13"/>
        <v>1170</v>
      </c>
      <c r="G316" s="209">
        <f>G317</f>
        <v>1170</v>
      </c>
      <c r="H316" s="209">
        <f>H318</f>
        <v>0</v>
      </c>
      <c r="I316" s="217">
        <f>I317</f>
        <v>710.89216</v>
      </c>
      <c r="J316" s="148">
        <f t="shared" si="22"/>
        <v>60.76001367521368</v>
      </c>
      <c r="K316" s="118"/>
      <c r="L316" s="121">
        <f t="shared" si="25"/>
        <v>60.76001367521368</v>
      </c>
    </row>
    <row r="317" spans="1:12" s="4" customFormat="1" ht="32.25" customHeight="1">
      <c r="A317" s="44" t="s">
        <v>174</v>
      </c>
      <c r="B317" s="24" t="s">
        <v>329</v>
      </c>
      <c r="C317" s="24" t="s">
        <v>114</v>
      </c>
      <c r="D317" s="54" t="s">
        <v>45</v>
      </c>
      <c r="E317" s="24" t="s">
        <v>175</v>
      </c>
      <c r="F317" s="216">
        <f t="shared" si="13"/>
        <v>1170</v>
      </c>
      <c r="G317" s="209">
        <f>G318</f>
        <v>1170</v>
      </c>
      <c r="H317" s="209"/>
      <c r="I317" s="217">
        <f>I318</f>
        <v>710.89216</v>
      </c>
      <c r="J317" s="148">
        <f t="shared" si="22"/>
        <v>60.76001367521368</v>
      </c>
      <c r="K317" s="126">
        <f>K318</f>
        <v>0</v>
      </c>
      <c r="L317" s="119">
        <f t="shared" si="25"/>
        <v>60.76001367521368</v>
      </c>
    </row>
    <row r="318" spans="1:12" s="4" customFormat="1" ht="32.25" customHeight="1">
      <c r="A318" s="44" t="s">
        <v>176</v>
      </c>
      <c r="B318" s="24" t="s">
        <v>329</v>
      </c>
      <c r="C318" s="24" t="s">
        <v>114</v>
      </c>
      <c r="D318" s="54" t="s">
        <v>45</v>
      </c>
      <c r="E318" s="24" t="s">
        <v>240</v>
      </c>
      <c r="F318" s="216">
        <f t="shared" si="13"/>
        <v>1170</v>
      </c>
      <c r="G318" s="209">
        <f>700+470</f>
        <v>1170</v>
      </c>
      <c r="H318" s="209"/>
      <c r="I318" s="217">
        <v>710.89216</v>
      </c>
      <c r="J318" s="148">
        <f t="shared" si="22"/>
        <v>60.76001367521368</v>
      </c>
      <c r="K318" s="118">
        <f>K319</f>
        <v>0</v>
      </c>
      <c r="L318" s="119">
        <f t="shared" si="25"/>
        <v>60.76001367521368</v>
      </c>
    </row>
    <row r="319" spans="1:12" s="4" customFormat="1" ht="49.5" customHeight="1">
      <c r="A319" s="44" t="s">
        <v>205</v>
      </c>
      <c r="B319" s="24" t="s">
        <v>329</v>
      </c>
      <c r="C319" s="24" t="s">
        <v>114</v>
      </c>
      <c r="D319" s="54" t="s">
        <v>44</v>
      </c>
      <c r="E319" s="24" t="s">
        <v>347</v>
      </c>
      <c r="F319" s="216">
        <f t="shared" si="13"/>
        <v>158238.00788000002</v>
      </c>
      <c r="G319" s="209">
        <f>G320</f>
        <v>158238.00788000002</v>
      </c>
      <c r="H319" s="209">
        <f>SUM(H320:H321)</f>
        <v>0</v>
      </c>
      <c r="I319" s="217">
        <f>I320</f>
        <v>143082.096</v>
      </c>
      <c r="J319" s="148">
        <f t="shared" si="22"/>
        <v>90.42207868826715</v>
      </c>
      <c r="K319" s="118">
        <f>SUM(K320:K323)</f>
        <v>0</v>
      </c>
      <c r="L319" s="119">
        <f t="shared" si="25"/>
        <v>90.42207868826715</v>
      </c>
    </row>
    <row r="320" spans="1:12" s="4" customFormat="1" ht="43.5" customHeight="1">
      <c r="A320" s="44" t="s">
        <v>174</v>
      </c>
      <c r="B320" s="24" t="s">
        <v>329</v>
      </c>
      <c r="C320" s="24" t="s">
        <v>114</v>
      </c>
      <c r="D320" s="54" t="s">
        <v>46</v>
      </c>
      <c r="E320" s="24" t="s">
        <v>175</v>
      </c>
      <c r="F320" s="216">
        <f t="shared" si="13"/>
        <v>158238.00788000002</v>
      </c>
      <c r="G320" s="209">
        <f>G321</f>
        <v>158238.00788000002</v>
      </c>
      <c r="H320" s="209"/>
      <c r="I320" s="217">
        <f>I321</f>
        <v>143082.096</v>
      </c>
      <c r="J320" s="148">
        <f t="shared" si="22"/>
        <v>90.42207868826715</v>
      </c>
      <c r="K320" s="118"/>
      <c r="L320" s="119">
        <f t="shared" si="25"/>
        <v>90.42207868826715</v>
      </c>
    </row>
    <row r="321" spans="1:12" s="4" customFormat="1" ht="33.75" customHeight="1">
      <c r="A321" s="44" t="s">
        <v>176</v>
      </c>
      <c r="B321" s="24" t="s">
        <v>329</v>
      </c>
      <c r="C321" s="24" t="s">
        <v>114</v>
      </c>
      <c r="D321" s="54" t="s">
        <v>46</v>
      </c>
      <c r="E321" s="24" t="s">
        <v>240</v>
      </c>
      <c r="F321" s="216">
        <f t="shared" si="13"/>
        <v>158238.00788000002</v>
      </c>
      <c r="G321" s="209">
        <f>66719.69615+5319.52811+3476-71+471-130.39903+10083.4+20118.39+10000+3731.75697+3000-2915.42308+33.142+38401.91676</f>
        <v>158238.00788000002</v>
      </c>
      <c r="H321" s="209"/>
      <c r="I321" s="217">
        <v>143082.096</v>
      </c>
      <c r="J321" s="148">
        <f t="shared" si="22"/>
        <v>90.42207868826715</v>
      </c>
      <c r="K321" s="120"/>
      <c r="L321" s="121">
        <f t="shared" si="25"/>
        <v>90.42207868826715</v>
      </c>
    </row>
    <row r="322" spans="1:12" s="4" customFormat="1" ht="33.75" customHeight="1">
      <c r="A322" s="52" t="s">
        <v>210</v>
      </c>
      <c r="B322" s="24" t="s">
        <v>329</v>
      </c>
      <c r="C322" s="24" t="s">
        <v>114</v>
      </c>
      <c r="D322" s="54" t="s">
        <v>47</v>
      </c>
      <c r="E322" s="24" t="s">
        <v>347</v>
      </c>
      <c r="F322" s="216">
        <f>F323+F326</f>
        <v>2808</v>
      </c>
      <c r="G322" s="216">
        <f>G323+G326</f>
        <v>2808</v>
      </c>
      <c r="H322" s="216">
        <f>H323+H326</f>
        <v>0</v>
      </c>
      <c r="I322" s="216">
        <f>I323+I326</f>
        <v>2795.11811</v>
      </c>
      <c r="J322" s="148">
        <f t="shared" si="22"/>
        <v>99.54124323361823</v>
      </c>
      <c r="K322" s="118"/>
      <c r="L322" s="119">
        <f t="shared" si="25"/>
        <v>99.54124323361823</v>
      </c>
    </row>
    <row r="323" spans="1:12" s="43" customFormat="1" ht="39.75" customHeight="1">
      <c r="A323" s="51" t="s">
        <v>211</v>
      </c>
      <c r="B323" s="24" t="s">
        <v>329</v>
      </c>
      <c r="C323" s="24" t="s">
        <v>114</v>
      </c>
      <c r="D323" s="54" t="s">
        <v>48</v>
      </c>
      <c r="E323" s="24" t="s">
        <v>347</v>
      </c>
      <c r="F323" s="216">
        <f aca="true" t="shared" si="26" ref="F323:F445">G323+H323</f>
        <v>258</v>
      </c>
      <c r="G323" s="209">
        <f>G324</f>
        <v>258</v>
      </c>
      <c r="H323" s="209">
        <f>H325</f>
        <v>0</v>
      </c>
      <c r="I323" s="217">
        <f>I324</f>
        <v>253.1459</v>
      </c>
      <c r="J323" s="148">
        <f t="shared" si="22"/>
        <v>98.11856589147287</v>
      </c>
      <c r="K323" s="118"/>
      <c r="L323" s="119">
        <f t="shared" si="25"/>
        <v>98.11856589147287</v>
      </c>
    </row>
    <row r="324" spans="1:12" s="4" customFormat="1" ht="33" customHeight="1" hidden="1">
      <c r="A324" s="44" t="s">
        <v>174</v>
      </c>
      <c r="B324" s="24" t="s">
        <v>329</v>
      </c>
      <c r="C324" s="24" t="s">
        <v>114</v>
      </c>
      <c r="D324" s="54" t="s">
        <v>49</v>
      </c>
      <c r="E324" s="24" t="s">
        <v>175</v>
      </c>
      <c r="F324" s="216">
        <f t="shared" si="26"/>
        <v>258</v>
      </c>
      <c r="G324" s="209">
        <f>G325</f>
        <v>258</v>
      </c>
      <c r="H324" s="209"/>
      <c r="I324" s="217">
        <f>I325</f>
        <v>253.1459</v>
      </c>
      <c r="J324" s="148">
        <f t="shared" si="22"/>
        <v>98.11856589147287</v>
      </c>
      <c r="K324" s="131">
        <f>K325+K340</f>
        <v>184.31442</v>
      </c>
      <c r="L324" s="136">
        <f t="shared" si="25"/>
        <v>98.11856589147287</v>
      </c>
    </row>
    <row r="325" spans="1:12" s="4" customFormat="1" ht="33" customHeight="1" hidden="1">
      <c r="A325" s="44" t="s">
        <v>176</v>
      </c>
      <c r="B325" s="24" t="s">
        <v>329</v>
      </c>
      <c r="C325" s="24" t="s">
        <v>114</v>
      </c>
      <c r="D325" s="54" t="s">
        <v>49</v>
      </c>
      <c r="E325" s="24" t="s">
        <v>240</v>
      </c>
      <c r="F325" s="216">
        <f t="shared" si="26"/>
        <v>258</v>
      </c>
      <c r="G325" s="209">
        <f>250+8</f>
        <v>258</v>
      </c>
      <c r="H325" s="209"/>
      <c r="I325" s="217">
        <v>253.1459</v>
      </c>
      <c r="J325" s="148">
        <f t="shared" si="22"/>
        <v>98.11856589147287</v>
      </c>
      <c r="K325" s="142">
        <f>K326</f>
        <v>0</v>
      </c>
      <c r="L325" s="136">
        <f t="shared" si="25"/>
        <v>98.11856589147287</v>
      </c>
    </row>
    <row r="326" spans="1:12" s="4" customFormat="1" ht="41.25" customHeight="1">
      <c r="A326" s="51" t="s">
        <v>206</v>
      </c>
      <c r="B326" s="24" t="s">
        <v>329</v>
      </c>
      <c r="C326" s="24" t="s">
        <v>114</v>
      </c>
      <c r="D326" s="54" t="s">
        <v>48</v>
      </c>
      <c r="E326" s="24" t="s">
        <v>347</v>
      </c>
      <c r="F326" s="216">
        <f t="shared" si="26"/>
        <v>2550</v>
      </c>
      <c r="G326" s="209">
        <f>G327</f>
        <v>2550</v>
      </c>
      <c r="H326" s="209">
        <f>H328</f>
        <v>0</v>
      </c>
      <c r="I326" s="217">
        <f>I327</f>
        <v>2541.97221</v>
      </c>
      <c r="J326" s="148">
        <f t="shared" si="22"/>
        <v>99.68518470588235</v>
      </c>
      <c r="K326" s="120"/>
      <c r="L326" s="119">
        <f t="shared" si="25"/>
        <v>99.68518470588235</v>
      </c>
    </row>
    <row r="327" spans="1:12" s="4" customFormat="1" ht="43.5" customHeight="1">
      <c r="A327" s="44" t="s">
        <v>174</v>
      </c>
      <c r="B327" s="24" t="s">
        <v>329</v>
      </c>
      <c r="C327" s="24" t="s">
        <v>114</v>
      </c>
      <c r="D327" s="54" t="s">
        <v>50</v>
      </c>
      <c r="E327" s="24" t="s">
        <v>175</v>
      </c>
      <c r="F327" s="216">
        <f t="shared" si="26"/>
        <v>2550</v>
      </c>
      <c r="G327" s="209">
        <f>G328</f>
        <v>2550</v>
      </c>
      <c r="H327" s="209"/>
      <c r="I327" s="217">
        <f>I328</f>
        <v>2541.97221</v>
      </c>
      <c r="J327" s="148">
        <f t="shared" si="22"/>
        <v>99.68518470588235</v>
      </c>
      <c r="K327" s="118"/>
      <c r="L327" s="119">
        <f t="shared" si="25"/>
        <v>99.68518470588235</v>
      </c>
    </row>
    <row r="328" spans="1:12" s="4" customFormat="1" ht="65.25" customHeight="1" hidden="1">
      <c r="A328" s="44" t="s">
        <v>176</v>
      </c>
      <c r="B328" s="24" t="s">
        <v>329</v>
      </c>
      <c r="C328" s="24" t="s">
        <v>114</v>
      </c>
      <c r="D328" s="54" t="s">
        <v>50</v>
      </c>
      <c r="E328" s="24" t="s">
        <v>240</v>
      </c>
      <c r="F328" s="216">
        <f t="shared" si="26"/>
        <v>2550</v>
      </c>
      <c r="G328" s="209">
        <f>750+300+1500</f>
        <v>2550</v>
      </c>
      <c r="H328" s="209"/>
      <c r="I328" s="217">
        <v>2541.97221</v>
      </c>
      <c r="J328" s="148">
        <f t="shared" si="22"/>
        <v>99.68518470588235</v>
      </c>
      <c r="K328" s="118"/>
      <c r="L328" s="119">
        <f>I328/F327*100</f>
        <v>99.68518470588235</v>
      </c>
    </row>
    <row r="329" spans="1:12" s="4" customFormat="1" ht="33.75" customHeight="1" hidden="1">
      <c r="A329" s="52" t="s">
        <v>241</v>
      </c>
      <c r="B329" s="24" t="s">
        <v>329</v>
      </c>
      <c r="C329" s="24" t="s">
        <v>114</v>
      </c>
      <c r="D329" s="54" t="s">
        <v>51</v>
      </c>
      <c r="E329" s="24" t="s">
        <v>347</v>
      </c>
      <c r="F329" s="216">
        <f t="shared" si="26"/>
        <v>0</v>
      </c>
      <c r="G329" s="209">
        <f>G330</f>
        <v>0</v>
      </c>
      <c r="H329" s="209">
        <f>H330+H333+H335</f>
        <v>0</v>
      </c>
      <c r="I329" s="217">
        <v>0</v>
      </c>
      <c r="J329" s="148" t="e">
        <f t="shared" si="22"/>
        <v>#DIV/0!</v>
      </c>
      <c r="K329" s="118"/>
      <c r="L329" s="119">
        <f>I329/F328*100</f>
        <v>0</v>
      </c>
    </row>
    <row r="330" spans="1:12" s="4" customFormat="1" ht="47.25" customHeight="1" hidden="1">
      <c r="A330" s="44" t="s">
        <v>99</v>
      </c>
      <c r="B330" s="24" t="s">
        <v>329</v>
      </c>
      <c r="C330" s="24" t="s">
        <v>114</v>
      </c>
      <c r="D330" s="54" t="s">
        <v>52</v>
      </c>
      <c r="E330" s="24" t="s">
        <v>347</v>
      </c>
      <c r="F330" s="216">
        <f t="shared" si="26"/>
        <v>0</v>
      </c>
      <c r="G330" s="209">
        <f>G331</f>
        <v>0</v>
      </c>
      <c r="H330" s="209"/>
      <c r="I330" s="217">
        <v>0</v>
      </c>
      <c r="J330" s="148" t="e">
        <f t="shared" si="22"/>
        <v>#DIV/0!</v>
      </c>
      <c r="K330" s="118"/>
      <c r="L330" s="119" t="e">
        <f>I330/F329*100</f>
        <v>#DIV/0!</v>
      </c>
    </row>
    <row r="331" spans="1:12" s="43" customFormat="1" ht="36" customHeight="1" hidden="1">
      <c r="A331" s="44" t="s">
        <v>174</v>
      </c>
      <c r="B331" s="24" t="s">
        <v>329</v>
      </c>
      <c r="C331" s="24" t="s">
        <v>114</v>
      </c>
      <c r="D331" s="54" t="s">
        <v>52</v>
      </c>
      <c r="E331" s="24" t="s">
        <v>175</v>
      </c>
      <c r="F331" s="216">
        <f t="shared" si="26"/>
        <v>0</v>
      </c>
      <c r="G331" s="209">
        <f>G332+G333+G334+G335</f>
        <v>0</v>
      </c>
      <c r="H331" s="209"/>
      <c r="I331" s="217">
        <v>0</v>
      </c>
      <c r="J331" s="148" t="e">
        <f t="shared" si="22"/>
        <v>#DIV/0!</v>
      </c>
      <c r="K331" s="126"/>
      <c r="L331" s="136" t="e">
        <f>I331/F331*100</f>
        <v>#DIV/0!</v>
      </c>
    </row>
    <row r="332" spans="1:12" s="4" customFormat="1" ht="33.75" customHeight="1">
      <c r="A332" s="44" t="s">
        <v>94</v>
      </c>
      <c r="B332" s="24" t="s">
        <v>329</v>
      </c>
      <c r="C332" s="24" t="s">
        <v>114</v>
      </c>
      <c r="D332" s="54" t="s">
        <v>53</v>
      </c>
      <c r="E332" s="24" t="s">
        <v>240</v>
      </c>
      <c r="F332" s="216">
        <v>9742.363</v>
      </c>
      <c r="G332" s="209"/>
      <c r="H332" s="209"/>
      <c r="I332" s="217">
        <v>9225.34447</v>
      </c>
      <c r="J332" s="148">
        <f t="shared" si="22"/>
        <v>94.6930890380496</v>
      </c>
      <c r="K332" s="118"/>
      <c r="L332" s="119">
        <f aca="true" t="shared" si="27" ref="L332:L337">I332/F332*100</f>
        <v>94.6930890380496</v>
      </c>
    </row>
    <row r="333" spans="1:12" s="4" customFormat="1" ht="30" customHeight="1">
      <c r="A333" s="29" t="s">
        <v>95</v>
      </c>
      <c r="B333" s="24" t="s">
        <v>329</v>
      </c>
      <c r="C333" s="24" t="s">
        <v>114</v>
      </c>
      <c r="D333" s="54" t="s">
        <v>54</v>
      </c>
      <c r="E333" s="24" t="s">
        <v>240</v>
      </c>
      <c r="F333" s="209">
        <v>12417.09</v>
      </c>
      <c r="G333" s="209"/>
      <c r="H333" s="248"/>
      <c r="I333" s="217">
        <v>13009.9514</v>
      </c>
      <c r="J333" s="148">
        <f t="shared" si="22"/>
        <v>104.77455990091076</v>
      </c>
      <c r="K333" s="118"/>
      <c r="L333" s="119">
        <f t="shared" si="27"/>
        <v>104.77455990091076</v>
      </c>
    </row>
    <row r="334" spans="1:12" s="4" customFormat="1" ht="45" customHeight="1">
      <c r="A334" s="44" t="s">
        <v>177</v>
      </c>
      <c r="B334" s="24" t="s">
        <v>329</v>
      </c>
      <c r="C334" s="24" t="s">
        <v>114</v>
      </c>
      <c r="D334" s="54" t="s">
        <v>55</v>
      </c>
      <c r="E334" s="24" t="s">
        <v>240</v>
      </c>
      <c r="F334" s="216">
        <v>9978.78</v>
      </c>
      <c r="G334" s="209"/>
      <c r="H334" s="209"/>
      <c r="I334" s="217">
        <v>9279.78488</v>
      </c>
      <c r="J334" s="148">
        <f t="shared" si="22"/>
        <v>92.99518458168231</v>
      </c>
      <c r="K334" s="153"/>
      <c r="L334" s="119">
        <f t="shared" si="27"/>
        <v>92.99518458168231</v>
      </c>
    </row>
    <row r="335" spans="1:12" ht="32.25" customHeight="1">
      <c r="A335" s="44" t="s">
        <v>178</v>
      </c>
      <c r="B335" s="24" t="s">
        <v>329</v>
      </c>
      <c r="C335" s="24" t="s">
        <v>114</v>
      </c>
      <c r="D335" s="54" t="s">
        <v>56</v>
      </c>
      <c r="E335" s="24" t="s">
        <v>240</v>
      </c>
      <c r="F335" s="216">
        <v>5941.9</v>
      </c>
      <c r="G335" s="209"/>
      <c r="H335" s="209"/>
      <c r="I335" s="217">
        <v>5539.3697</v>
      </c>
      <c r="J335" s="148">
        <f t="shared" si="22"/>
        <v>93.22556253050372</v>
      </c>
      <c r="K335" s="153"/>
      <c r="L335" s="119">
        <f t="shared" si="27"/>
        <v>93.22556253050372</v>
      </c>
    </row>
    <row r="336" spans="1:12" ht="57" customHeight="1">
      <c r="A336" s="51" t="s">
        <v>408</v>
      </c>
      <c r="B336" s="45" t="s">
        <v>329</v>
      </c>
      <c r="C336" s="45" t="s">
        <v>114</v>
      </c>
      <c r="D336" s="80" t="s">
        <v>25</v>
      </c>
      <c r="E336" s="45" t="s">
        <v>347</v>
      </c>
      <c r="F336" s="216">
        <f t="shared" si="26"/>
        <v>172100.73</v>
      </c>
      <c r="G336" s="209">
        <f aca="true" t="shared" si="28" ref="G336:I337">G337</f>
        <v>0</v>
      </c>
      <c r="H336" s="209">
        <f t="shared" si="28"/>
        <v>172100.73</v>
      </c>
      <c r="I336" s="217">
        <f t="shared" si="28"/>
        <v>170778.26106999998</v>
      </c>
      <c r="J336" s="148">
        <f aca="true" t="shared" si="29" ref="J336:J399">I336/F336*100</f>
        <v>99.23157273650145</v>
      </c>
      <c r="K336" s="118"/>
      <c r="L336" s="119">
        <f t="shared" si="27"/>
        <v>99.23157273650145</v>
      </c>
    </row>
    <row r="337" spans="1:12" ht="40.5" customHeight="1">
      <c r="A337" s="52" t="s">
        <v>411</v>
      </c>
      <c r="B337" s="24" t="s">
        <v>329</v>
      </c>
      <c r="C337" s="24" t="s">
        <v>114</v>
      </c>
      <c r="D337" s="54" t="s">
        <v>43</v>
      </c>
      <c r="E337" s="24" t="s">
        <v>347</v>
      </c>
      <c r="F337" s="216">
        <f t="shared" si="26"/>
        <v>172100.73</v>
      </c>
      <c r="G337" s="209">
        <f t="shared" si="28"/>
        <v>0</v>
      </c>
      <c r="H337" s="209">
        <f t="shared" si="28"/>
        <v>172100.73</v>
      </c>
      <c r="I337" s="217">
        <f t="shared" si="28"/>
        <v>170778.26106999998</v>
      </c>
      <c r="J337" s="148">
        <f t="shared" si="29"/>
        <v>99.23157273650145</v>
      </c>
      <c r="K337" s="118"/>
      <c r="L337" s="119">
        <f t="shared" si="27"/>
        <v>99.23157273650145</v>
      </c>
    </row>
    <row r="338" spans="1:12" ht="20.25" customHeight="1">
      <c r="A338" s="51" t="s">
        <v>133</v>
      </c>
      <c r="B338" s="45" t="s">
        <v>329</v>
      </c>
      <c r="C338" s="45" t="s">
        <v>114</v>
      </c>
      <c r="D338" s="80" t="s">
        <v>25</v>
      </c>
      <c r="E338" s="45" t="s">
        <v>347</v>
      </c>
      <c r="F338" s="218">
        <f>F339+F342+F345</f>
        <v>172100.73</v>
      </c>
      <c r="G338" s="218">
        <f>G339+G342+G345</f>
        <v>0</v>
      </c>
      <c r="H338" s="218">
        <f>H339+H342+H345</f>
        <v>172100.73</v>
      </c>
      <c r="I338" s="218">
        <f>I339+I342+I345</f>
        <v>170778.26106999998</v>
      </c>
      <c r="J338" s="148">
        <f t="shared" si="29"/>
        <v>99.23157273650145</v>
      </c>
      <c r="K338" s="118"/>
      <c r="L338" s="119">
        <f>I338/F338*100</f>
        <v>99.23157273650145</v>
      </c>
    </row>
    <row r="339" spans="1:12" ht="19.5" customHeight="1" hidden="1">
      <c r="A339" s="51" t="s">
        <v>489</v>
      </c>
      <c r="B339" s="45" t="s">
        <v>329</v>
      </c>
      <c r="C339" s="45" t="s">
        <v>114</v>
      </c>
      <c r="D339" s="80" t="s">
        <v>43</v>
      </c>
      <c r="E339" s="45" t="s">
        <v>347</v>
      </c>
      <c r="F339" s="218">
        <f t="shared" si="26"/>
        <v>10064.37</v>
      </c>
      <c r="G339" s="219">
        <f>G340</f>
        <v>0</v>
      </c>
      <c r="H339" s="219">
        <f>H340</f>
        <v>10064.37</v>
      </c>
      <c r="I339" s="220">
        <f>I340</f>
        <v>9384.91149</v>
      </c>
      <c r="J339" s="149">
        <f t="shared" si="29"/>
        <v>93.24887191150563</v>
      </c>
      <c r="K339" s="118"/>
      <c r="L339" s="119">
        <f>I339/F338*100</f>
        <v>5.453150309124197</v>
      </c>
    </row>
    <row r="340" spans="1:12" ht="37.5" customHeight="1">
      <c r="A340" s="44" t="s">
        <v>174</v>
      </c>
      <c r="B340" s="24" t="s">
        <v>329</v>
      </c>
      <c r="C340" s="24" t="s">
        <v>114</v>
      </c>
      <c r="D340" s="54" t="s">
        <v>490</v>
      </c>
      <c r="E340" s="24" t="s">
        <v>175</v>
      </c>
      <c r="F340" s="216">
        <f t="shared" si="26"/>
        <v>10064.37</v>
      </c>
      <c r="G340" s="209"/>
      <c r="H340" s="209">
        <f>H341</f>
        <v>10064.37</v>
      </c>
      <c r="I340" s="217">
        <f>I341</f>
        <v>9384.91149</v>
      </c>
      <c r="J340" s="148">
        <f t="shared" si="29"/>
        <v>93.24887191150563</v>
      </c>
      <c r="K340" s="126">
        <f>K341+K345+K348+K350</f>
        <v>184.31442</v>
      </c>
      <c r="L340" s="119">
        <f>I340/F340*100</f>
        <v>93.24887191150563</v>
      </c>
    </row>
    <row r="341" spans="1:12" ht="24.75" customHeight="1">
      <c r="A341" s="44" t="s">
        <v>176</v>
      </c>
      <c r="B341" s="24" t="s">
        <v>329</v>
      </c>
      <c r="C341" s="24" t="s">
        <v>114</v>
      </c>
      <c r="D341" s="54" t="s">
        <v>490</v>
      </c>
      <c r="E341" s="24" t="s">
        <v>240</v>
      </c>
      <c r="F341" s="216">
        <f t="shared" si="26"/>
        <v>10064.37</v>
      </c>
      <c r="G341" s="209"/>
      <c r="H341" s="209">
        <f>13848.602-3784.232</f>
        <v>10064.37</v>
      </c>
      <c r="I341" s="217">
        <v>9384.91149</v>
      </c>
      <c r="J341" s="148">
        <f t="shared" si="29"/>
        <v>93.24887191150563</v>
      </c>
      <c r="K341" s="118"/>
      <c r="L341" s="119">
        <f>I341/F341*100</f>
        <v>93.24887191150563</v>
      </c>
    </row>
    <row r="342" spans="1:12" ht="60" customHeight="1">
      <c r="A342" s="51" t="s">
        <v>623</v>
      </c>
      <c r="B342" s="45" t="s">
        <v>329</v>
      </c>
      <c r="C342" s="45" t="s">
        <v>114</v>
      </c>
      <c r="D342" s="80" t="s">
        <v>624</v>
      </c>
      <c r="E342" s="45" t="s">
        <v>347</v>
      </c>
      <c r="F342" s="218">
        <f>G342+H342</f>
        <v>5152</v>
      </c>
      <c r="G342" s="219">
        <v>0</v>
      </c>
      <c r="H342" s="219">
        <f>H343</f>
        <v>5152</v>
      </c>
      <c r="I342" s="220">
        <f>I343</f>
        <v>4508.98958</v>
      </c>
      <c r="J342" s="149">
        <f t="shared" si="29"/>
        <v>87.5192076863354</v>
      </c>
      <c r="K342" s="118"/>
      <c r="L342" s="119">
        <f>I342/F342*100</f>
        <v>87.5192076863354</v>
      </c>
    </row>
    <row r="343" spans="1:12" ht="39" customHeight="1">
      <c r="A343" s="44" t="s">
        <v>174</v>
      </c>
      <c r="B343" s="24" t="s">
        <v>329</v>
      </c>
      <c r="C343" s="24" t="s">
        <v>114</v>
      </c>
      <c r="D343" s="54" t="s">
        <v>624</v>
      </c>
      <c r="E343" s="24" t="s">
        <v>175</v>
      </c>
      <c r="F343" s="216">
        <f>G343+H343</f>
        <v>5152</v>
      </c>
      <c r="G343" s="209"/>
      <c r="H343" s="209">
        <f>H344</f>
        <v>5152</v>
      </c>
      <c r="I343" s="217">
        <f>I344</f>
        <v>4508.98958</v>
      </c>
      <c r="J343" s="148">
        <f t="shared" si="29"/>
        <v>87.5192076863354</v>
      </c>
      <c r="K343" s="155"/>
      <c r="L343" s="119">
        <f>I343/F343*100</f>
        <v>87.5192076863354</v>
      </c>
    </row>
    <row r="344" spans="1:13" s="30" customFormat="1" ht="21" customHeight="1">
      <c r="A344" s="44" t="s">
        <v>176</v>
      </c>
      <c r="B344" s="24" t="s">
        <v>329</v>
      </c>
      <c r="C344" s="24" t="s">
        <v>114</v>
      </c>
      <c r="D344" s="54" t="s">
        <v>624</v>
      </c>
      <c r="E344" s="24" t="s">
        <v>240</v>
      </c>
      <c r="F344" s="216">
        <f>G344+H344</f>
        <v>5152</v>
      </c>
      <c r="G344" s="209"/>
      <c r="H344" s="209">
        <v>5152</v>
      </c>
      <c r="I344" s="217">
        <v>4508.98958</v>
      </c>
      <c r="J344" s="148">
        <f t="shared" si="29"/>
        <v>87.5192076863354</v>
      </c>
      <c r="K344" s="120"/>
      <c r="L344" s="121">
        <f>I344/F343*100</f>
        <v>87.5192076863354</v>
      </c>
      <c r="M344" s="172"/>
    </row>
    <row r="345" spans="1:12" ht="67.5" customHeight="1">
      <c r="A345" s="51" t="s">
        <v>146</v>
      </c>
      <c r="B345" s="45" t="s">
        <v>329</v>
      </c>
      <c r="C345" s="45" t="s">
        <v>114</v>
      </c>
      <c r="D345" s="80" t="s">
        <v>43</v>
      </c>
      <c r="E345" s="45" t="s">
        <v>347</v>
      </c>
      <c r="F345" s="218">
        <f t="shared" si="26"/>
        <v>156884.36000000002</v>
      </c>
      <c r="G345" s="219">
        <f>G346</f>
        <v>0</v>
      </c>
      <c r="H345" s="219">
        <f>H346</f>
        <v>156884.36000000002</v>
      </c>
      <c r="I345" s="220">
        <f>I346</f>
        <v>156884.36</v>
      </c>
      <c r="J345" s="149">
        <f t="shared" si="29"/>
        <v>99.99999999999997</v>
      </c>
      <c r="K345" s="120">
        <f>K346</f>
        <v>0</v>
      </c>
      <c r="L345" s="119">
        <f aca="true" t="shared" si="30" ref="L345:L374">I345/F345*100</f>
        <v>99.99999999999997</v>
      </c>
    </row>
    <row r="346" spans="1:12" ht="37.5" customHeight="1">
      <c r="A346" s="44" t="s">
        <v>174</v>
      </c>
      <c r="B346" s="24" t="s">
        <v>329</v>
      </c>
      <c r="C346" s="24" t="s">
        <v>114</v>
      </c>
      <c r="D346" s="54" t="s">
        <v>57</v>
      </c>
      <c r="E346" s="24" t="s">
        <v>175</v>
      </c>
      <c r="F346" s="216">
        <f t="shared" si="26"/>
        <v>156884.36000000002</v>
      </c>
      <c r="G346" s="209"/>
      <c r="H346" s="209">
        <f>H347</f>
        <v>156884.36000000002</v>
      </c>
      <c r="I346" s="217">
        <f>I347</f>
        <v>156884.36</v>
      </c>
      <c r="J346" s="148">
        <f t="shared" si="29"/>
        <v>99.99999999999997</v>
      </c>
      <c r="K346" s="118">
        <f>K347</f>
        <v>0</v>
      </c>
      <c r="L346" s="119">
        <f t="shared" si="30"/>
        <v>99.99999999999997</v>
      </c>
    </row>
    <row r="347" spans="1:12" ht="24" customHeight="1">
      <c r="A347" s="44" t="s">
        <v>176</v>
      </c>
      <c r="B347" s="24" t="s">
        <v>329</v>
      </c>
      <c r="C347" s="24" t="s">
        <v>114</v>
      </c>
      <c r="D347" s="54" t="s">
        <v>57</v>
      </c>
      <c r="E347" s="24" t="s">
        <v>240</v>
      </c>
      <c r="F347" s="216">
        <f t="shared" si="26"/>
        <v>156884.36000000002</v>
      </c>
      <c r="G347" s="209"/>
      <c r="H347" s="209">
        <f>156357.937+526.423</f>
        <v>156884.36000000002</v>
      </c>
      <c r="I347" s="217">
        <v>156884.36</v>
      </c>
      <c r="J347" s="148">
        <f t="shared" si="29"/>
        <v>99.99999999999997</v>
      </c>
      <c r="K347" s="118"/>
      <c r="L347" s="119">
        <f t="shared" si="30"/>
        <v>99.99999999999997</v>
      </c>
    </row>
    <row r="348" spans="1:12" ht="84" customHeight="1">
      <c r="A348" s="51" t="s">
        <v>581</v>
      </c>
      <c r="B348" s="45" t="s">
        <v>329</v>
      </c>
      <c r="C348" s="45" t="s">
        <v>114</v>
      </c>
      <c r="D348" s="80" t="s">
        <v>625</v>
      </c>
      <c r="E348" s="45" t="s">
        <v>347</v>
      </c>
      <c r="F348" s="218">
        <f>G348+H348</f>
        <v>6366.78</v>
      </c>
      <c r="G348" s="219">
        <v>0</v>
      </c>
      <c r="H348" s="219">
        <f>H349</f>
        <v>6366.78</v>
      </c>
      <c r="I348" s="220">
        <f>I349</f>
        <v>5894.81221</v>
      </c>
      <c r="J348" s="149">
        <f t="shared" si="29"/>
        <v>92.58702530949712</v>
      </c>
      <c r="K348" s="120">
        <f>K349</f>
        <v>0</v>
      </c>
      <c r="L348" s="119">
        <f t="shared" si="30"/>
        <v>92.58702530949712</v>
      </c>
    </row>
    <row r="349" spans="1:12" ht="39" customHeight="1">
      <c r="A349" s="44" t="s">
        <v>174</v>
      </c>
      <c r="B349" s="24" t="s">
        <v>329</v>
      </c>
      <c r="C349" s="24" t="s">
        <v>114</v>
      </c>
      <c r="D349" s="54" t="s">
        <v>625</v>
      </c>
      <c r="E349" s="24" t="s">
        <v>175</v>
      </c>
      <c r="F349" s="216">
        <f>G349+H349</f>
        <v>6366.78</v>
      </c>
      <c r="G349" s="209"/>
      <c r="H349" s="209">
        <f>H350</f>
        <v>6366.78</v>
      </c>
      <c r="I349" s="217">
        <f>I350</f>
        <v>5894.81221</v>
      </c>
      <c r="J349" s="148">
        <f t="shared" si="29"/>
        <v>92.58702530949712</v>
      </c>
      <c r="K349" s="59"/>
      <c r="L349" s="119">
        <f t="shared" si="30"/>
        <v>92.58702530949712</v>
      </c>
    </row>
    <row r="350" spans="1:12" ht="16.5" customHeight="1">
      <c r="A350" s="44" t="s">
        <v>176</v>
      </c>
      <c r="B350" s="24" t="s">
        <v>329</v>
      </c>
      <c r="C350" s="24" t="s">
        <v>114</v>
      </c>
      <c r="D350" s="54" t="s">
        <v>625</v>
      </c>
      <c r="E350" s="24" t="s">
        <v>240</v>
      </c>
      <c r="F350" s="216">
        <f>G350+H350</f>
        <v>6366.78</v>
      </c>
      <c r="G350" s="209"/>
      <c r="H350" s="209">
        <v>6366.78</v>
      </c>
      <c r="I350" s="217">
        <v>5894.81221</v>
      </c>
      <c r="J350" s="148">
        <f t="shared" si="29"/>
        <v>92.58702530949712</v>
      </c>
      <c r="K350" s="120">
        <f>K353</f>
        <v>184.31442</v>
      </c>
      <c r="L350" s="119">
        <f t="shared" si="30"/>
        <v>92.58702530949712</v>
      </c>
    </row>
    <row r="351" spans="1:12" s="30" customFormat="1" ht="29.25" customHeight="1">
      <c r="A351" s="270" t="s">
        <v>522</v>
      </c>
      <c r="B351" s="271" t="s">
        <v>329</v>
      </c>
      <c r="C351" s="271" t="s">
        <v>119</v>
      </c>
      <c r="D351" s="300" t="s">
        <v>262</v>
      </c>
      <c r="E351" s="271" t="s">
        <v>347</v>
      </c>
      <c r="F351" s="272">
        <f>F353+F360</f>
        <v>39913.46633</v>
      </c>
      <c r="G351" s="272">
        <f>G353+G360</f>
        <v>39088.46633</v>
      </c>
      <c r="H351" s="272">
        <f>H353+H360</f>
        <v>825</v>
      </c>
      <c r="I351" s="272">
        <f>I353+I360</f>
        <v>37887.783780000005</v>
      </c>
      <c r="J351" s="274">
        <f t="shared" si="29"/>
        <v>94.9248142638079</v>
      </c>
      <c r="K351" s="141"/>
      <c r="L351" s="277">
        <f t="shared" si="30"/>
        <v>94.9248142638079</v>
      </c>
    </row>
    <row r="352" spans="1:12" ht="53.25" customHeight="1">
      <c r="A352" s="51" t="s">
        <v>408</v>
      </c>
      <c r="B352" s="45" t="s">
        <v>329</v>
      </c>
      <c r="C352" s="45" t="s">
        <v>119</v>
      </c>
      <c r="D352" s="80" t="s">
        <v>25</v>
      </c>
      <c r="E352" s="45" t="s">
        <v>347</v>
      </c>
      <c r="F352" s="218">
        <f>F356+F357+F358+F359+F360</f>
        <v>39913.46633</v>
      </c>
      <c r="G352" s="218">
        <f>G356+G357+G358+G359+G360</f>
        <v>39088.46633</v>
      </c>
      <c r="H352" s="218">
        <f>H356+H357+H358+H359+H360</f>
        <v>825</v>
      </c>
      <c r="I352" s="218">
        <f>I356+I357+I358+I359+I360</f>
        <v>37887.783780000005</v>
      </c>
      <c r="J352" s="149">
        <f t="shared" si="29"/>
        <v>94.9248142638079</v>
      </c>
      <c r="K352" s="139"/>
      <c r="L352" s="119">
        <f t="shared" si="30"/>
        <v>94.9248142638079</v>
      </c>
    </row>
    <row r="353" spans="1:12" ht="38.25" customHeight="1">
      <c r="A353" s="52" t="s">
        <v>241</v>
      </c>
      <c r="B353" s="24" t="s">
        <v>329</v>
      </c>
      <c r="C353" s="24" t="s">
        <v>119</v>
      </c>
      <c r="D353" s="54" t="s">
        <v>51</v>
      </c>
      <c r="E353" s="24" t="s">
        <v>347</v>
      </c>
      <c r="F353" s="216">
        <f t="shared" si="26"/>
        <v>39080.133</v>
      </c>
      <c r="G353" s="209">
        <f>G354</f>
        <v>39080.133</v>
      </c>
      <c r="H353" s="209"/>
      <c r="I353" s="217">
        <f>I354</f>
        <v>37054.450450000004</v>
      </c>
      <c r="J353" s="148">
        <f t="shared" si="29"/>
        <v>94.81659248703171</v>
      </c>
      <c r="K353" s="144">
        <v>184.31442</v>
      </c>
      <c r="L353" s="119">
        <f t="shared" si="30"/>
        <v>94.81659248703171</v>
      </c>
    </row>
    <row r="354" spans="1:12" ht="19.5" customHeight="1">
      <c r="A354" s="44" t="s">
        <v>99</v>
      </c>
      <c r="B354" s="24" t="s">
        <v>329</v>
      </c>
      <c r="C354" s="24" t="s">
        <v>119</v>
      </c>
      <c r="D354" s="54" t="s">
        <v>52</v>
      </c>
      <c r="E354" s="24" t="s">
        <v>347</v>
      </c>
      <c r="F354" s="216">
        <f t="shared" si="26"/>
        <v>39080.133</v>
      </c>
      <c r="G354" s="209">
        <f>G355</f>
        <v>39080.133</v>
      </c>
      <c r="H354" s="209"/>
      <c r="I354" s="217">
        <f>I355</f>
        <v>37054.450450000004</v>
      </c>
      <c r="J354" s="148">
        <f t="shared" si="29"/>
        <v>94.81659248703171</v>
      </c>
      <c r="K354" s="145"/>
      <c r="L354" s="119">
        <f t="shared" si="30"/>
        <v>94.81659248703171</v>
      </c>
    </row>
    <row r="355" spans="1:12" ht="39" customHeight="1">
      <c r="A355" s="44" t="s">
        <v>174</v>
      </c>
      <c r="B355" s="24" t="s">
        <v>329</v>
      </c>
      <c r="C355" s="24" t="s">
        <v>119</v>
      </c>
      <c r="D355" s="54" t="s">
        <v>52</v>
      </c>
      <c r="E355" s="24" t="s">
        <v>175</v>
      </c>
      <c r="F355" s="216">
        <f>F356+F357+F358+F359</f>
        <v>39080.133</v>
      </c>
      <c r="G355" s="216">
        <f>G356+G357+G358+G359</f>
        <v>39080.133</v>
      </c>
      <c r="H355" s="216">
        <f>H356+H357+H358+H359</f>
        <v>0</v>
      </c>
      <c r="I355" s="216">
        <f>I356+I357+I358+I359</f>
        <v>37054.450450000004</v>
      </c>
      <c r="J355" s="148">
        <f t="shared" si="29"/>
        <v>94.81659248703171</v>
      </c>
      <c r="K355" s="156"/>
      <c r="L355" s="119">
        <f t="shared" si="30"/>
        <v>94.81659248703171</v>
      </c>
    </row>
    <row r="356" spans="1:12" ht="33" customHeight="1" hidden="1">
      <c r="A356" s="44" t="s">
        <v>94</v>
      </c>
      <c r="B356" s="24" t="s">
        <v>329</v>
      </c>
      <c r="C356" s="24" t="s">
        <v>119</v>
      </c>
      <c r="D356" s="54" t="s">
        <v>53</v>
      </c>
      <c r="E356" s="24" t="s">
        <v>240</v>
      </c>
      <c r="F356" s="216">
        <f t="shared" si="26"/>
        <v>9742.363000000001</v>
      </c>
      <c r="G356" s="209">
        <f>5180.48+704.64+2620.9+1236.343</f>
        <v>9742.363000000001</v>
      </c>
      <c r="H356" s="209"/>
      <c r="I356" s="217">
        <v>9225.34447</v>
      </c>
      <c r="J356" s="148">
        <f t="shared" si="29"/>
        <v>94.69308903804958</v>
      </c>
      <c r="K356" s="145"/>
      <c r="L356" s="119">
        <f t="shared" si="30"/>
        <v>94.69308903804958</v>
      </c>
    </row>
    <row r="357" spans="1:12" ht="27" customHeight="1">
      <c r="A357" s="29" t="s">
        <v>95</v>
      </c>
      <c r="B357" s="24" t="s">
        <v>329</v>
      </c>
      <c r="C357" s="24" t="s">
        <v>119</v>
      </c>
      <c r="D357" s="54" t="s">
        <v>54</v>
      </c>
      <c r="E357" s="24" t="s">
        <v>240</v>
      </c>
      <c r="F357" s="209">
        <f t="shared" si="26"/>
        <v>13417.09</v>
      </c>
      <c r="G357" s="209">
        <f>12332.59+54+49.5+531+150+300</f>
        <v>13417.09</v>
      </c>
      <c r="H357" s="209"/>
      <c r="I357" s="217">
        <v>13009.9514</v>
      </c>
      <c r="J357" s="148">
        <f t="shared" si="29"/>
        <v>96.96552233010287</v>
      </c>
      <c r="K357" s="145"/>
      <c r="L357" s="119">
        <f t="shared" si="30"/>
        <v>96.96552233010287</v>
      </c>
    </row>
    <row r="358" spans="1:12" ht="32.25" customHeight="1">
      <c r="A358" s="44" t="s">
        <v>177</v>
      </c>
      <c r="B358" s="24" t="s">
        <v>329</v>
      </c>
      <c r="C358" s="24" t="s">
        <v>119</v>
      </c>
      <c r="D358" s="54" t="s">
        <v>55</v>
      </c>
      <c r="E358" s="24" t="s">
        <v>240</v>
      </c>
      <c r="F358" s="216">
        <f t="shared" si="26"/>
        <v>9978.779999999999</v>
      </c>
      <c r="G358" s="209">
        <f>7276.28+2464.5+238</f>
        <v>9978.779999999999</v>
      </c>
      <c r="H358" s="209"/>
      <c r="I358" s="217">
        <v>9279.78488</v>
      </c>
      <c r="J358" s="148">
        <f t="shared" si="29"/>
        <v>92.99518458168234</v>
      </c>
      <c r="K358" s="146"/>
      <c r="L358" s="119">
        <f t="shared" si="30"/>
        <v>92.99518458168234</v>
      </c>
    </row>
    <row r="359" spans="1:12" ht="36.75" customHeight="1">
      <c r="A359" s="44" t="s">
        <v>178</v>
      </c>
      <c r="B359" s="24" t="s">
        <v>329</v>
      </c>
      <c r="C359" s="24" t="s">
        <v>119</v>
      </c>
      <c r="D359" s="54" t="s">
        <v>56</v>
      </c>
      <c r="E359" s="24" t="s">
        <v>240</v>
      </c>
      <c r="F359" s="216">
        <f t="shared" si="26"/>
        <v>5941.9</v>
      </c>
      <c r="G359" s="209">
        <f>3354.13+2282.77+155+150</f>
        <v>5941.9</v>
      </c>
      <c r="H359" s="209"/>
      <c r="I359" s="217">
        <v>5539.3697</v>
      </c>
      <c r="J359" s="148">
        <f t="shared" si="29"/>
        <v>93.22556253050372</v>
      </c>
      <c r="K359" s="146"/>
      <c r="L359" s="119">
        <f t="shared" si="30"/>
        <v>93.22556253050372</v>
      </c>
    </row>
    <row r="360" spans="1:12" ht="65.25" customHeight="1">
      <c r="A360" s="56" t="s">
        <v>626</v>
      </c>
      <c r="B360" s="101" t="s">
        <v>329</v>
      </c>
      <c r="C360" s="101" t="s">
        <v>119</v>
      </c>
      <c r="D360" s="108" t="s">
        <v>262</v>
      </c>
      <c r="E360" s="101" t="s">
        <v>347</v>
      </c>
      <c r="F360" s="234">
        <f>F361+F363</f>
        <v>833.33333</v>
      </c>
      <c r="G360" s="234">
        <f>G361+G363</f>
        <v>8.33333</v>
      </c>
      <c r="H360" s="234">
        <f>H361+H363</f>
        <v>825</v>
      </c>
      <c r="I360" s="234">
        <f>I361+I363</f>
        <v>833.33333</v>
      </c>
      <c r="J360" s="151">
        <f t="shared" si="29"/>
        <v>100</v>
      </c>
      <c r="K360" s="146"/>
      <c r="L360" s="119">
        <f t="shared" si="30"/>
        <v>100</v>
      </c>
    </row>
    <row r="361" spans="1:12" ht="89.25" customHeight="1">
      <c r="A361" s="44" t="s">
        <v>627</v>
      </c>
      <c r="B361" s="24" t="s">
        <v>329</v>
      </c>
      <c r="C361" s="24" t="s">
        <v>119</v>
      </c>
      <c r="D361" s="54" t="s">
        <v>628</v>
      </c>
      <c r="E361" s="24" t="s">
        <v>347</v>
      </c>
      <c r="F361" s="216">
        <f>G361+H361</f>
        <v>825</v>
      </c>
      <c r="G361" s="216">
        <f>G362</f>
        <v>0</v>
      </c>
      <c r="H361" s="209">
        <f>H362</f>
        <v>825</v>
      </c>
      <c r="I361" s="217">
        <v>825</v>
      </c>
      <c r="J361" s="148">
        <f t="shared" si="29"/>
        <v>100</v>
      </c>
      <c r="K361" s="135">
        <f>K362+K367+K369+K375</f>
        <v>3652.7935</v>
      </c>
      <c r="L361" s="119">
        <f t="shared" si="30"/>
        <v>100</v>
      </c>
    </row>
    <row r="362" spans="1:12" ht="28.5" customHeight="1">
      <c r="A362" s="44" t="s">
        <v>176</v>
      </c>
      <c r="B362" s="24" t="s">
        <v>329</v>
      </c>
      <c r="C362" s="24" t="s">
        <v>119</v>
      </c>
      <c r="D362" s="54" t="s">
        <v>628</v>
      </c>
      <c r="E362" s="24" t="s">
        <v>175</v>
      </c>
      <c r="F362" s="216">
        <f>G362+H362</f>
        <v>825</v>
      </c>
      <c r="G362" s="209">
        <v>0</v>
      </c>
      <c r="H362" s="209">
        <v>825</v>
      </c>
      <c r="I362" s="217">
        <v>825</v>
      </c>
      <c r="J362" s="148">
        <f t="shared" si="29"/>
        <v>100</v>
      </c>
      <c r="K362" s="120">
        <f>K363</f>
        <v>0</v>
      </c>
      <c r="L362" s="119">
        <f t="shared" si="30"/>
        <v>100</v>
      </c>
    </row>
    <row r="363" spans="1:12" ht="105" customHeight="1">
      <c r="A363" s="44" t="s">
        <v>629</v>
      </c>
      <c r="B363" s="24" t="s">
        <v>329</v>
      </c>
      <c r="C363" s="24" t="s">
        <v>119</v>
      </c>
      <c r="D363" s="54" t="s">
        <v>630</v>
      </c>
      <c r="E363" s="24" t="s">
        <v>175</v>
      </c>
      <c r="F363" s="216">
        <f aca="true" t="shared" si="31" ref="F363:F368">G363</f>
        <v>8.33333</v>
      </c>
      <c r="G363" s="209">
        <f>G364</f>
        <v>8.33333</v>
      </c>
      <c r="H363" s="209">
        <f>H364</f>
        <v>0</v>
      </c>
      <c r="I363" s="217">
        <v>8.33333</v>
      </c>
      <c r="J363" s="148">
        <f t="shared" si="29"/>
        <v>100</v>
      </c>
      <c r="K363" s="118">
        <f>K364</f>
        <v>0</v>
      </c>
      <c r="L363" s="119">
        <f t="shared" si="30"/>
        <v>100</v>
      </c>
    </row>
    <row r="364" spans="1:12" s="1" customFormat="1" ht="22.5" customHeight="1">
      <c r="A364" s="44" t="s">
        <v>176</v>
      </c>
      <c r="B364" s="24" t="s">
        <v>329</v>
      </c>
      <c r="C364" s="24" t="s">
        <v>119</v>
      </c>
      <c r="D364" s="54" t="s">
        <v>630</v>
      </c>
      <c r="E364" s="24" t="s">
        <v>240</v>
      </c>
      <c r="F364" s="216">
        <f t="shared" si="31"/>
        <v>8.33333</v>
      </c>
      <c r="G364" s="209">
        <v>8.33333</v>
      </c>
      <c r="H364" s="209">
        <v>0</v>
      </c>
      <c r="I364" s="217">
        <v>8.33333</v>
      </c>
      <c r="J364" s="148">
        <f t="shared" si="29"/>
        <v>100</v>
      </c>
      <c r="K364" s="118">
        <f>K366</f>
        <v>0</v>
      </c>
      <c r="L364" s="119">
        <f t="shared" si="30"/>
        <v>100</v>
      </c>
    </row>
    <row r="365" spans="1:12" ht="51" customHeight="1" hidden="1">
      <c r="A365" s="56" t="s">
        <v>518</v>
      </c>
      <c r="B365" s="101" t="s">
        <v>329</v>
      </c>
      <c r="C365" s="101" t="s">
        <v>119</v>
      </c>
      <c r="D365" s="108" t="s">
        <v>262</v>
      </c>
      <c r="E365" s="101" t="s">
        <v>347</v>
      </c>
      <c r="F365" s="234">
        <f t="shared" si="31"/>
        <v>0</v>
      </c>
      <c r="G365" s="230">
        <f>G366</f>
        <v>0</v>
      </c>
      <c r="H365" s="230"/>
      <c r="I365" s="235">
        <v>0</v>
      </c>
      <c r="J365" s="151" t="e">
        <f t="shared" si="29"/>
        <v>#DIV/0!</v>
      </c>
      <c r="K365" s="118"/>
      <c r="L365" s="119" t="e">
        <f t="shared" si="30"/>
        <v>#DIV/0!</v>
      </c>
    </row>
    <row r="366" spans="1:12" ht="95.25" customHeight="1" hidden="1">
      <c r="A366" s="44" t="s">
        <v>521</v>
      </c>
      <c r="B366" s="24" t="s">
        <v>329</v>
      </c>
      <c r="C366" s="24" t="s">
        <v>119</v>
      </c>
      <c r="D366" s="54" t="s">
        <v>262</v>
      </c>
      <c r="E366" s="24" t="s">
        <v>347</v>
      </c>
      <c r="F366" s="216">
        <f t="shared" si="31"/>
        <v>0</v>
      </c>
      <c r="G366" s="209">
        <f>G367</f>
        <v>0</v>
      </c>
      <c r="H366" s="209"/>
      <c r="I366" s="217">
        <v>0</v>
      </c>
      <c r="J366" s="148" t="e">
        <f t="shared" si="29"/>
        <v>#DIV/0!</v>
      </c>
      <c r="K366" s="147"/>
      <c r="L366" s="119" t="e">
        <f t="shared" si="30"/>
        <v>#DIV/0!</v>
      </c>
    </row>
    <row r="367" spans="1:12" ht="35.25" customHeight="1" hidden="1">
      <c r="A367" s="44" t="s">
        <v>174</v>
      </c>
      <c r="B367" s="24" t="s">
        <v>329</v>
      </c>
      <c r="C367" s="24" t="s">
        <v>119</v>
      </c>
      <c r="D367" s="54" t="s">
        <v>520</v>
      </c>
      <c r="E367" s="24" t="s">
        <v>175</v>
      </c>
      <c r="F367" s="216">
        <f t="shared" si="31"/>
        <v>0</v>
      </c>
      <c r="G367" s="209">
        <f>G368</f>
        <v>0</v>
      </c>
      <c r="H367" s="209"/>
      <c r="I367" s="217">
        <v>0</v>
      </c>
      <c r="J367" s="148" t="e">
        <f t="shared" si="29"/>
        <v>#DIV/0!</v>
      </c>
      <c r="K367" s="142">
        <f>K368</f>
        <v>0</v>
      </c>
      <c r="L367" s="119" t="e">
        <f t="shared" si="30"/>
        <v>#DIV/0!</v>
      </c>
    </row>
    <row r="368" spans="1:12" ht="34.5" customHeight="1" hidden="1">
      <c r="A368" s="44" t="s">
        <v>176</v>
      </c>
      <c r="B368" s="24" t="s">
        <v>329</v>
      </c>
      <c r="C368" s="24" t="s">
        <v>119</v>
      </c>
      <c r="D368" s="54" t="s">
        <v>520</v>
      </c>
      <c r="E368" s="24" t="s">
        <v>240</v>
      </c>
      <c r="F368" s="216">
        <f t="shared" si="31"/>
        <v>0</v>
      </c>
      <c r="G368" s="209"/>
      <c r="H368" s="209"/>
      <c r="I368" s="217">
        <v>0</v>
      </c>
      <c r="J368" s="148" t="e">
        <f t="shared" si="29"/>
        <v>#DIV/0!</v>
      </c>
      <c r="K368" s="118"/>
      <c r="L368" s="119" t="e">
        <f t="shared" si="30"/>
        <v>#DIV/0!</v>
      </c>
    </row>
    <row r="369" spans="1:12" ht="46.5" customHeight="1">
      <c r="A369" s="270" t="s">
        <v>408</v>
      </c>
      <c r="B369" s="271" t="s">
        <v>329</v>
      </c>
      <c r="C369" s="271" t="s">
        <v>326</v>
      </c>
      <c r="D369" s="300" t="s">
        <v>25</v>
      </c>
      <c r="E369" s="271" t="s">
        <v>347</v>
      </c>
      <c r="F369" s="272">
        <f t="shared" si="26"/>
        <v>50</v>
      </c>
      <c r="G369" s="273">
        <f aca="true" t="shared" si="32" ref="G369:I370">G370</f>
        <v>50</v>
      </c>
      <c r="H369" s="273">
        <f t="shared" si="32"/>
        <v>0</v>
      </c>
      <c r="I369" s="273">
        <f t="shared" si="32"/>
        <v>32.777</v>
      </c>
      <c r="J369" s="274">
        <f t="shared" si="29"/>
        <v>65.554</v>
      </c>
      <c r="K369" s="141">
        <f>K372</f>
        <v>3441.1885</v>
      </c>
      <c r="L369" s="275">
        <f t="shared" si="30"/>
        <v>65.554</v>
      </c>
    </row>
    <row r="370" spans="1:12" s="36" customFormat="1" ht="45" customHeight="1">
      <c r="A370" s="52" t="s">
        <v>321</v>
      </c>
      <c r="B370" s="24" t="s">
        <v>329</v>
      </c>
      <c r="C370" s="24" t="s">
        <v>326</v>
      </c>
      <c r="D370" s="54" t="s">
        <v>58</v>
      </c>
      <c r="E370" s="24" t="s">
        <v>347</v>
      </c>
      <c r="F370" s="216">
        <f t="shared" si="26"/>
        <v>50</v>
      </c>
      <c r="G370" s="209">
        <f t="shared" si="32"/>
        <v>50</v>
      </c>
      <c r="H370" s="209">
        <f t="shared" si="32"/>
        <v>0</v>
      </c>
      <c r="I370" s="217">
        <f t="shared" si="32"/>
        <v>32.777</v>
      </c>
      <c r="J370" s="148">
        <f t="shared" si="29"/>
        <v>65.554</v>
      </c>
      <c r="K370" s="118">
        <f>K371</f>
        <v>3441.1885</v>
      </c>
      <c r="L370" s="119">
        <f t="shared" si="30"/>
        <v>65.554</v>
      </c>
    </row>
    <row r="371" spans="1:12" s="43" customFormat="1" ht="39.75" customHeight="1">
      <c r="A371" s="44" t="s">
        <v>207</v>
      </c>
      <c r="B371" s="24" t="s">
        <v>329</v>
      </c>
      <c r="C371" s="24" t="s">
        <v>326</v>
      </c>
      <c r="D371" s="54" t="s">
        <v>59</v>
      </c>
      <c r="E371" s="24" t="s">
        <v>347</v>
      </c>
      <c r="F371" s="216">
        <f t="shared" si="26"/>
        <v>50</v>
      </c>
      <c r="G371" s="209">
        <f>G372</f>
        <v>50</v>
      </c>
      <c r="H371" s="209">
        <f>H373</f>
        <v>0</v>
      </c>
      <c r="I371" s="217">
        <f>I372</f>
        <v>32.777</v>
      </c>
      <c r="J371" s="148">
        <f t="shared" si="29"/>
        <v>65.554</v>
      </c>
      <c r="K371" s="118">
        <f>K372</f>
        <v>3441.1885</v>
      </c>
      <c r="L371" s="119">
        <f t="shared" si="30"/>
        <v>65.554</v>
      </c>
    </row>
    <row r="372" spans="1:12" s="30" customFormat="1" ht="35.25" customHeight="1">
      <c r="A372" s="44" t="s">
        <v>174</v>
      </c>
      <c r="B372" s="24" t="s">
        <v>329</v>
      </c>
      <c r="C372" s="24" t="s">
        <v>326</v>
      </c>
      <c r="D372" s="54" t="s">
        <v>59</v>
      </c>
      <c r="E372" s="24" t="s">
        <v>175</v>
      </c>
      <c r="F372" s="216">
        <f t="shared" si="26"/>
        <v>50</v>
      </c>
      <c r="G372" s="209">
        <f>G373</f>
        <v>50</v>
      </c>
      <c r="H372" s="209"/>
      <c r="I372" s="217">
        <f>I373</f>
        <v>32.777</v>
      </c>
      <c r="J372" s="148">
        <f t="shared" si="29"/>
        <v>65.554</v>
      </c>
      <c r="K372" s="118">
        <f>K374+K373</f>
        <v>3441.1885</v>
      </c>
      <c r="L372" s="119">
        <f t="shared" si="30"/>
        <v>65.554</v>
      </c>
    </row>
    <row r="373" spans="1:12" s="1" customFormat="1" ht="27.75" customHeight="1">
      <c r="A373" s="44" t="s">
        <v>176</v>
      </c>
      <c r="B373" s="24" t="s">
        <v>329</v>
      </c>
      <c r="C373" s="24" t="s">
        <v>326</v>
      </c>
      <c r="D373" s="54" t="s">
        <v>59</v>
      </c>
      <c r="E373" s="24" t="s">
        <v>240</v>
      </c>
      <c r="F373" s="216">
        <f t="shared" si="26"/>
        <v>50</v>
      </c>
      <c r="G373" s="209">
        <v>50</v>
      </c>
      <c r="H373" s="209"/>
      <c r="I373" s="217">
        <v>32.777</v>
      </c>
      <c r="J373" s="148">
        <f t="shared" si="29"/>
        <v>65.554</v>
      </c>
      <c r="K373" s="137">
        <v>45.47373</v>
      </c>
      <c r="L373" s="119">
        <f t="shared" si="30"/>
        <v>65.554</v>
      </c>
    </row>
    <row r="374" spans="1:12" ht="27.75" customHeight="1">
      <c r="A374" s="270" t="s">
        <v>631</v>
      </c>
      <c r="B374" s="271" t="s">
        <v>329</v>
      </c>
      <c r="C374" s="271" t="s">
        <v>329</v>
      </c>
      <c r="D374" s="300" t="s">
        <v>262</v>
      </c>
      <c r="E374" s="271" t="s">
        <v>347</v>
      </c>
      <c r="F374" s="272">
        <f>F375</f>
        <v>2730.2395400000005</v>
      </c>
      <c r="G374" s="273">
        <f>G375</f>
        <v>11.24799</v>
      </c>
      <c r="H374" s="273">
        <f>H375</f>
        <v>2529.33119</v>
      </c>
      <c r="I374" s="267">
        <f>I375</f>
        <v>2661.56358</v>
      </c>
      <c r="J374" s="268">
        <f t="shared" si="29"/>
        <v>97.48461777826276</v>
      </c>
      <c r="K374" s="293">
        <v>3395.71477</v>
      </c>
      <c r="L374" s="275">
        <f t="shared" si="30"/>
        <v>97.48461777826276</v>
      </c>
    </row>
    <row r="375" spans="1:12" ht="56.25" customHeight="1">
      <c r="A375" s="51" t="s">
        <v>408</v>
      </c>
      <c r="B375" s="45" t="s">
        <v>329</v>
      </c>
      <c r="C375" s="45" t="s">
        <v>329</v>
      </c>
      <c r="D375" s="80" t="s">
        <v>25</v>
      </c>
      <c r="E375" s="45" t="s">
        <v>347</v>
      </c>
      <c r="F375" s="218">
        <f>F377+F382</f>
        <v>2730.2395400000005</v>
      </c>
      <c r="G375" s="218">
        <f>G377+G382</f>
        <v>11.24799</v>
      </c>
      <c r="H375" s="218">
        <f>H377+H382</f>
        <v>2529.33119</v>
      </c>
      <c r="I375" s="218">
        <f>I377+I382</f>
        <v>2661.56358</v>
      </c>
      <c r="J375" s="149">
        <f t="shared" si="29"/>
        <v>97.48461777826276</v>
      </c>
      <c r="K375" s="120">
        <f>K376</f>
        <v>211.60500000000002</v>
      </c>
      <c r="L375" s="119">
        <f aca="true" t="shared" si="33" ref="L375:L381">I375/F375*100</f>
        <v>97.48461777826276</v>
      </c>
    </row>
    <row r="376" spans="1:12" ht="26.25" customHeight="1">
      <c r="A376" s="52" t="s">
        <v>396</v>
      </c>
      <c r="B376" s="24" t="s">
        <v>329</v>
      </c>
      <c r="C376" s="24" t="s">
        <v>329</v>
      </c>
      <c r="D376" s="54" t="s">
        <v>60</v>
      </c>
      <c r="E376" s="24" t="s">
        <v>347</v>
      </c>
      <c r="F376" s="216">
        <f>F377</f>
        <v>1536.76455</v>
      </c>
      <c r="G376" s="209">
        <f>G377</f>
        <v>0</v>
      </c>
      <c r="H376" s="209">
        <f>H377</f>
        <v>1347.10419</v>
      </c>
      <c r="I376" s="217">
        <f>I380</f>
        <v>1536.76455</v>
      </c>
      <c r="J376" s="148">
        <f t="shared" si="29"/>
        <v>100</v>
      </c>
      <c r="K376" s="118">
        <f>K377</f>
        <v>211.60500000000002</v>
      </c>
      <c r="L376" s="119">
        <f t="shared" si="33"/>
        <v>100</v>
      </c>
    </row>
    <row r="377" spans="1:12" ht="66.75" customHeight="1">
      <c r="A377" s="51" t="s">
        <v>632</v>
      </c>
      <c r="B377" s="45" t="s">
        <v>329</v>
      </c>
      <c r="C377" s="45" t="s">
        <v>329</v>
      </c>
      <c r="D377" s="80" t="s">
        <v>60</v>
      </c>
      <c r="E377" s="45" t="s">
        <v>347</v>
      </c>
      <c r="F377" s="218">
        <f>F380</f>
        <v>1536.76455</v>
      </c>
      <c r="G377" s="219"/>
      <c r="H377" s="219">
        <f>H378+H380</f>
        <v>1347.10419</v>
      </c>
      <c r="I377" s="217">
        <f>I380</f>
        <v>1536.76455</v>
      </c>
      <c r="J377" s="148">
        <f>I377/F377*100</f>
        <v>100</v>
      </c>
      <c r="K377" s="118">
        <f>K378</f>
        <v>211.60500000000002</v>
      </c>
      <c r="L377" s="119">
        <f t="shared" si="33"/>
        <v>100</v>
      </c>
    </row>
    <row r="378" spans="1:12" ht="21.75" customHeight="1" hidden="1">
      <c r="A378" s="74" t="s">
        <v>165</v>
      </c>
      <c r="B378" s="24" t="s">
        <v>329</v>
      </c>
      <c r="C378" s="24" t="s">
        <v>329</v>
      </c>
      <c r="D378" s="54" t="s">
        <v>61</v>
      </c>
      <c r="E378" s="24" t="s">
        <v>122</v>
      </c>
      <c r="F378" s="216">
        <f>G378+H378</f>
        <v>0</v>
      </c>
      <c r="G378" s="209"/>
      <c r="H378" s="209">
        <f>H379</f>
        <v>0</v>
      </c>
      <c r="I378" s="217">
        <v>0</v>
      </c>
      <c r="J378" s="148" t="e">
        <f t="shared" si="29"/>
        <v>#DIV/0!</v>
      </c>
      <c r="K378" s="118">
        <f>K379</f>
        <v>211.60500000000002</v>
      </c>
      <c r="L378" s="119" t="e">
        <f t="shared" si="33"/>
        <v>#DIV/0!</v>
      </c>
    </row>
    <row r="379" spans="1:12" ht="44.25" customHeight="1" hidden="1">
      <c r="A379" s="74" t="s">
        <v>166</v>
      </c>
      <c r="B379" s="24" t="s">
        <v>329</v>
      </c>
      <c r="C379" s="24" t="s">
        <v>329</v>
      </c>
      <c r="D379" s="54" t="s">
        <v>61</v>
      </c>
      <c r="E379" s="24" t="s">
        <v>167</v>
      </c>
      <c r="F379" s="216">
        <f>G379+H379</f>
        <v>0</v>
      </c>
      <c r="G379" s="209"/>
      <c r="H379" s="209"/>
      <c r="I379" s="217">
        <v>0</v>
      </c>
      <c r="J379" s="148" t="e">
        <f t="shared" si="29"/>
        <v>#DIV/0!</v>
      </c>
      <c r="K379" s="154">
        <f>340-96.81427-31.58073</f>
        <v>211.60500000000002</v>
      </c>
      <c r="L379" s="121" t="e">
        <f t="shared" si="33"/>
        <v>#DIV/0!</v>
      </c>
    </row>
    <row r="380" spans="1:12" ht="48.75" customHeight="1">
      <c r="A380" s="74" t="s">
        <v>174</v>
      </c>
      <c r="B380" s="24" t="s">
        <v>329</v>
      </c>
      <c r="C380" s="24" t="s">
        <v>329</v>
      </c>
      <c r="D380" s="54" t="s">
        <v>61</v>
      </c>
      <c r="E380" s="24" t="s">
        <v>175</v>
      </c>
      <c r="F380" s="216">
        <f>F381</f>
        <v>1536.76455</v>
      </c>
      <c r="G380" s="209"/>
      <c r="H380" s="209">
        <f>H381</f>
        <v>1347.10419</v>
      </c>
      <c r="I380" s="217">
        <f>I381</f>
        <v>1536.76455</v>
      </c>
      <c r="J380" s="148">
        <f t="shared" si="29"/>
        <v>100</v>
      </c>
      <c r="K380" s="131">
        <f>K381</f>
        <v>0</v>
      </c>
      <c r="L380" s="119">
        <f t="shared" si="33"/>
        <v>100</v>
      </c>
    </row>
    <row r="381" spans="1:12" ht="20.25" customHeight="1">
      <c r="A381" s="74" t="s">
        <v>176</v>
      </c>
      <c r="B381" s="24" t="s">
        <v>329</v>
      </c>
      <c r="C381" s="24" t="s">
        <v>329</v>
      </c>
      <c r="D381" s="54" t="s">
        <v>61</v>
      </c>
      <c r="E381" s="24" t="s">
        <v>240</v>
      </c>
      <c r="F381" s="216">
        <v>1536.76455</v>
      </c>
      <c r="G381" s="209"/>
      <c r="H381" s="209">
        <f>3064.058-400-642.381-674.57281</f>
        <v>1347.10419</v>
      </c>
      <c r="I381" s="217">
        <v>1536.76455</v>
      </c>
      <c r="J381" s="148">
        <f t="shared" si="29"/>
        <v>100</v>
      </c>
      <c r="K381" s="118">
        <f>K382</f>
        <v>0</v>
      </c>
      <c r="L381" s="119">
        <f t="shared" si="33"/>
        <v>100</v>
      </c>
    </row>
    <row r="382" spans="1:12" ht="49.5" customHeight="1">
      <c r="A382" s="56" t="s">
        <v>633</v>
      </c>
      <c r="B382" s="101" t="s">
        <v>329</v>
      </c>
      <c r="C382" s="101" t="s">
        <v>329</v>
      </c>
      <c r="D382" s="108" t="s">
        <v>262</v>
      </c>
      <c r="E382" s="101" t="s">
        <v>347</v>
      </c>
      <c r="F382" s="234">
        <f>F383+F386</f>
        <v>1193.4749900000002</v>
      </c>
      <c r="G382" s="234">
        <f>G383+G386</f>
        <v>11.24799</v>
      </c>
      <c r="H382" s="234">
        <f>H383+H386</f>
        <v>1182.227</v>
      </c>
      <c r="I382" s="234">
        <f>I383+I386</f>
        <v>1124.7990300000001</v>
      </c>
      <c r="J382" s="151">
        <f t="shared" si="29"/>
        <v>94.24571435719822</v>
      </c>
      <c r="K382" s="120">
        <f>K383</f>
        <v>0</v>
      </c>
      <c r="L382" s="121">
        <f aca="true" t="shared" si="34" ref="L382:L407">I382/F382*100</f>
        <v>94.24571435719822</v>
      </c>
    </row>
    <row r="383" spans="1:12" ht="69.75" customHeight="1">
      <c r="A383" s="44" t="s">
        <v>634</v>
      </c>
      <c r="B383" s="24" t="s">
        <v>329</v>
      </c>
      <c r="C383" s="24" t="s">
        <v>329</v>
      </c>
      <c r="D383" s="54" t="s">
        <v>635</v>
      </c>
      <c r="E383" s="24" t="s">
        <v>347</v>
      </c>
      <c r="F383" s="216">
        <f t="shared" si="26"/>
        <v>1182.227</v>
      </c>
      <c r="G383" s="209"/>
      <c r="H383" s="209">
        <f>H384</f>
        <v>1182.227</v>
      </c>
      <c r="I383" s="217">
        <f>I384</f>
        <v>1113.55104</v>
      </c>
      <c r="J383" s="148">
        <f t="shared" si="29"/>
        <v>94.19096670943905</v>
      </c>
      <c r="K383" s="118">
        <f>K385</f>
        <v>0</v>
      </c>
      <c r="L383" s="119">
        <f t="shared" si="34"/>
        <v>94.19096670943905</v>
      </c>
    </row>
    <row r="384" spans="1:12" ht="40.5" customHeight="1">
      <c r="A384" s="44" t="s">
        <v>174</v>
      </c>
      <c r="B384" s="24" t="s">
        <v>329</v>
      </c>
      <c r="C384" s="24" t="s">
        <v>329</v>
      </c>
      <c r="D384" s="54" t="s">
        <v>635</v>
      </c>
      <c r="E384" s="24" t="s">
        <v>175</v>
      </c>
      <c r="F384" s="216">
        <f t="shared" si="26"/>
        <v>1182.227</v>
      </c>
      <c r="G384" s="209"/>
      <c r="H384" s="209">
        <f>H385</f>
        <v>1182.227</v>
      </c>
      <c r="I384" s="217">
        <f>I385</f>
        <v>1113.55104</v>
      </c>
      <c r="J384" s="148">
        <f t="shared" si="29"/>
        <v>94.19096670943905</v>
      </c>
      <c r="K384" s="118"/>
      <c r="L384" s="119">
        <f t="shared" si="34"/>
        <v>94.19096670943905</v>
      </c>
    </row>
    <row r="385" spans="1:12" s="1" customFormat="1" ht="24.75" customHeight="1">
      <c r="A385" s="44" t="s">
        <v>176</v>
      </c>
      <c r="B385" s="24" t="s">
        <v>329</v>
      </c>
      <c r="C385" s="24" t="s">
        <v>329</v>
      </c>
      <c r="D385" s="54" t="s">
        <v>635</v>
      </c>
      <c r="E385" s="24" t="s">
        <v>240</v>
      </c>
      <c r="F385" s="216">
        <f t="shared" si="26"/>
        <v>1182.227</v>
      </c>
      <c r="G385" s="209"/>
      <c r="H385" s="209">
        <v>1182.227</v>
      </c>
      <c r="I385" s="217">
        <f>1113.55104</f>
        <v>1113.55104</v>
      </c>
      <c r="J385" s="148">
        <f t="shared" si="29"/>
        <v>94.19096670943905</v>
      </c>
      <c r="K385" s="118"/>
      <c r="L385" s="119">
        <f t="shared" si="34"/>
        <v>94.19096670943905</v>
      </c>
    </row>
    <row r="386" spans="1:12" ht="86.25" customHeight="1">
      <c r="A386" s="44" t="s">
        <v>636</v>
      </c>
      <c r="B386" s="24" t="s">
        <v>329</v>
      </c>
      <c r="C386" s="24" t="s">
        <v>329</v>
      </c>
      <c r="D386" s="54" t="s">
        <v>637</v>
      </c>
      <c r="E386" s="24" t="s">
        <v>347</v>
      </c>
      <c r="F386" s="216">
        <f t="shared" si="26"/>
        <v>11.24799</v>
      </c>
      <c r="G386" s="209">
        <f>G387</f>
        <v>11.24799</v>
      </c>
      <c r="H386" s="209"/>
      <c r="I386" s="217">
        <f>I387</f>
        <v>11.24799</v>
      </c>
      <c r="J386" s="148">
        <f t="shared" si="29"/>
        <v>100</v>
      </c>
      <c r="K386" s="131">
        <f>K387</f>
        <v>0</v>
      </c>
      <c r="L386" s="119">
        <f t="shared" si="34"/>
        <v>100</v>
      </c>
    </row>
    <row r="387" spans="1:12" ht="33.75" customHeight="1">
      <c r="A387" s="44" t="s">
        <v>174</v>
      </c>
      <c r="B387" s="24" t="s">
        <v>329</v>
      </c>
      <c r="C387" s="24" t="s">
        <v>329</v>
      </c>
      <c r="D387" s="54" t="s">
        <v>637</v>
      </c>
      <c r="E387" s="24" t="s">
        <v>175</v>
      </c>
      <c r="F387" s="216">
        <f t="shared" si="26"/>
        <v>11.24799</v>
      </c>
      <c r="G387" s="209">
        <f>G388</f>
        <v>11.24799</v>
      </c>
      <c r="H387" s="209"/>
      <c r="I387" s="217">
        <f>I388</f>
        <v>11.24799</v>
      </c>
      <c r="J387" s="148">
        <f t="shared" si="29"/>
        <v>100</v>
      </c>
      <c r="K387" s="118">
        <f>K388</f>
        <v>0</v>
      </c>
      <c r="L387" s="119">
        <f t="shared" si="34"/>
        <v>100</v>
      </c>
    </row>
    <row r="388" spans="1:12" ht="26.25" customHeight="1">
      <c r="A388" s="44" t="s">
        <v>176</v>
      </c>
      <c r="B388" s="24" t="s">
        <v>329</v>
      </c>
      <c r="C388" s="24" t="s">
        <v>329</v>
      </c>
      <c r="D388" s="54" t="s">
        <v>637</v>
      </c>
      <c r="E388" s="24" t="s">
        <v>240</v>
      </c>
      <c r="F388" s="216">
        <f t="shared" si="26"/>
        <v>11.24799</v>
      </c>
      <c r="G388" s="209">
        <f>11.94169-6.00085+5.30715</f>
        <v>11.24799</v>
      </c>
      <c r="H388" s="209"/>
      <c r="I388" s="217">
        <v>11.24799</v>
      </c>
      <c r="J388" s="148">
        <f t="shared" si="29"/>
        <v>100</v>
      </c>
      <c r="K388" s="118">
        <f>K389</f>
        <v>0</v>
      </c>
      <c r="L388" s="119">
        <f t="shared" si="34"/>
        <v>100</v>
      </c>
    </row>
    <row r="389" spans="1:12" ht="39.75" customHeight="1">
      <c r="A389" s="270" t="s">
        <v>305</v>
      </c>
      <c r="B389" s="271" t="s">
        <v>329</v>
      </c>
      <c r="C389" s="271" t="s">
        <v>314</v>
      </c>
      <c r="D389" s="300" t="s">
        <v>262</v>
      </c>
      <c r="E389" s="271" t="s">
        <v>347</v>
      </c>
      <c r="F389" s="272">
        <f>F390+F404+F407+F416+F420+F423+F427</f>
        <v>47011.17093</v>
      </c>
      <c r="G389" s="272">
        <f>G390+G404+G407+G416+G420+G423+G427</f>
        <v>45191.85293</v>
      </c>
      <c r="H389" s="272">
        <f>H390+H404+H407+H416+H420+H423+H427</f>
        <v>1819.3179999999998</v>
      </c>
      <c r="I389" s="272">
        <f>I390+I404+I407+I416+I420+I423+I427</f>
        <v>45141.35857000001</v>
      </c>
      <c r="J389" s="274">
        <f t="shared" si="29"/>
        <v>96.02262117064868</v>
      </c>
      <c r="K389" s="276">
        <f>K391</f>
        <v>0</v>
      </c>
      <c r="L389" s="277">
        <f t="shared" si="34"/>
        <v>96.02262117064868</v>
      </c>
    </row>
    <row r="390" spans="1:12" ht="36.75" customHeight="1">
      <c r="A390" s="52" t="s">
        <v>213</v>
      </c>
      <c r="B390" s="24" t="s">
        <v>329</v>
      </c>
      <c r="C390" s="24" t="s">
        <v>314</v>
      </c>
      <c r="D390" s="54" t="s">
        <v>62</v>
      </c>
      <c r="E390" s="24" t="s">
        <v>347</v>
      </c>
      <c r="F390" s="216">
        <f>F391+F399</f>
        <v>40646.57293</v>
      </c>
      <c r="G390" s="216">
        <f>G391+G399</f>
        <v>40646.57293</v>
      </c>
      <c r="H390" s="216">
        <f>H391+H399</f>
        <v>0</v>
      </c>
      <c r="I390" s="216">
        <f>I391+I399</f>
        <v>39475.67136000001</v>
      </c>
      <c r="J390" s="249">
        <f t="shared" si="29"/>
        <v>97.11931047171805</v>
      </c>
      <c r="K390" s="118"/>
      <c r="L390" s="119">
        <f t="shared" si="34"/>
        <v>97.11931047171805</v>
      </c>
    </row>
    <row r="391" spans="1:12" ht="48" customHeight="1">
      <c r="A391" s="44" t="s">
        <v>64</v>
      </c>
      <c r="B391" s="24" t="s">
        <v>329</v>
      </c>
      <c r="C391" s="24" t="s">
        <v>314</v>
      </c>
      <c r="D391" s="54" t="s">
        <v>63</v>
      </c>
      <c r="E391" s="24" t="s">
        <v>347</v>
      </c>
      <c r="F391" s="216">
        <f>F392+F394+F396</f>
        <v>37740.64</v>
      </c>
      <c r="G391" s="216">
        <f>G392+G394+G396</f>
        <v>37740.64</v>
      </c>
      <c r="H391" s="216">
        <f>H392+H394+H396</f>
        <v>0</v>
      </c>
      <c r="I391" s="216">
        <f>I392+I394+I396</f>
        <v>36569.738430000005</v>
      </c>
      <c r="J391" s="148">
        <f t="shared" si="29"/>
        <v>96.8975047322992</v>
      </c>
      <c r="K391" s="118"/>
      <c r="L391" s="119">
        <f t="shared" si="34"/>
        <v>96.8975047322992</v>
      </c>
    </row>
    <row r="392" spans="1:12" ht="80.25" customHeight="1">
      <c r="A392" s="44" t="s">
        <v>148</v>
      </c>
      <c r="B392" s="24" t="s">
        <v>329</v>
      </c>
      <c r="C392" s="24" t="s">
        <v>314</v>
      </c>
      <c r="D392" s="54" t="s">
        <v>63</v>
      </c>
      <c r="E392" s="24" t="s">
        <v>117</v>
      </c>
      <c r="F392" s="216">
        <v>31601</v>
      </c>
      <c r="G392" s="209">
        <f>G393</f>
        <v>31601</v>
      </c>
      <c r="H392" s="209"/>
      <c r="I392" s="217">
        <v>31129.7776</v>
      </c>
      <c r="J392" s="148">
        <f t="shared" si="29"/>
        <v>98.50883706211829</v>
      </c>
      <c r="K392" s="157">
        <f>K393+K402</f>
        <v>11303.678</v>
      </c>
      <c r="L392" s="121">
        <f t="shared" si="34"/>
        <v>98.50883706211829</v>
      </c>
    </row>
    <row r="393" spans="1:12" ht="28.5" customHeight="1">
      <c r="A393" s="44" t="s">
        <v>164</v>
      </c>
      <c r="B393" s="24" t="s">
        <v>329</v>
      </c>
      <c r="C393" s="24" t="s">
        <v>314</v>
      </c>
      <c r="D393" s="54" t="s">
        <v>63</v>
      </c>
      <c r="E393" s="24" t="s">
        <v>124</v>
      </c>
      <c r="F393" s="216">
        <v>31601</v>
      </c>
      <c r="G393" s="209">
        <v>31601</v>
      </c>
      <c r="H393" s="226"/>
      <c r="I393" s="217">
        <v>31129.778</v>
      </c>
      <c r="J393" s="148">
        <f t="shared" si="29"/>
        <v>98.50883832790102</v>
      </c>
      <c r="K393" s="60">
        <f>K394</f>
        <v>11303.678</v>
      </c>
      <c r="L393" s="119">
        <f t="shared" si="34"/>
        <v>98.50883832790102</v>
      </c>
    </row>
    <row r="394" spans="1:12" ht="38.25" customHeight="1">
      <c r="A394" s="44" t="s">
        <v>151</v>
      </c>
      <c r="B394" s="24" t="s">
        <v>329</v>
      </c>
      <c r="C394" s="24" t="s">
        <v>314</v>
      </c>
      <c r="D394" s="54" t="s">
        <v>63</v>
      </c>
      <c r="E394" s="24" t="s">
        <v>121</v>
      </c>
      <c r="F394" s="216">
        <f t="shared" si="26"/>
        <v>5950.44</v>
      </c>
      <c r="G394" s="209">
        <f>G395</f>
        <v>5950.44</v>
      </c>
      <c r="H394" s="226"/>
      <c r="I394" s="217">
        <f>I395</f>
        <v>5277.68519</v>
      </c>
      <c r="J394" s="148">
        <f t="shared" si="29"/>
        <v>88.69403254213135</v>
      </c>
      <c r="K394" s="118">
        <f>K395</f>
        <v>11303.678</v>
      </c>
      <c r="L394" s="119">
        <f t="shared" si="34"/>
        <v>88.69403254213135</v>
      </c>
    </row>
    <row r="395" spans="1:12" s="1" customFormat="1" ht="32.25" customHeight="1">
      <c r="A395" s="74" t="s">
        <v>152</v>
      </c>
      <c r="B395" s="24" t="s">
        <v>329</v>
      </c>
      <c r="C395" s="24" t="s">
        <v>314</v>
      </c>
      <c r="D395" s="54" t="s">
        <v>63</v>
      </c>
      <c r="E395" s="24" t="s">
        <v>153</v>
      </c>
      <c r="F395" s="216">
        <f t="shared" si="26"/>
        <v>5950.44</v>
      </c>
      <c r="G395" s="209">
        <f>5877-106.56+300-120</f>
        <v>5950.44</v>
      </c>
      <c r="H395" s="209"/>
      <c r="I395" s="217">
        <v>5277.68519</v>
      </c>
      <c r="J395" s="148">
        <f t="shared" si="29"/>
        <v>88.69403254213135</v>
      </c>
      <c r="K395" s="118">
        <f>K396+K398</f>
        <v>11303.678</v>
      </c>
      <c r="L395" s="119">
        <f t="shared" si="34"/>
        <v>88.69403254213135</v>
      </c>
    </row>
    <row r="396" spans="1:12" s="4" customFormat="1" ht="23.25" customHeight="1">
      <c r="A396" s="44" t="s">
        <v>156</v>
      </c>
      <c r="B396" s="24" t="s">
        <v>329</v>
      </c>
      <c r="C396" s="24" t="s">
        <v>314</v>
      </c>
      <c r="D396" s="54" t="s">
        <v>63</v>
      </c>
      <c r="E396" s="24" t="s">
        <v>157</v>
      </c>
      <c r="F396" s="216">
        <f t="shared" si="26"/>
        <v>189.2</v>
      </c>
      <c r="G396" s="209">
        <f>G397+G398</f>
        <v>189.2</v>
      </c>
      <c r="H396" s="209"/>
      <c r="I396" s="217">
        <f>I398</f>
        <v>162.27564</v>
      </c>
      <c r="J396" s="148">
        <f t="shared" si="29"/>
        <v>85.76936575052855</v>
      </c>
      <c r="K396" s="118">
        <f>K397</f>
        <v>11303.678</v>
      </c>
      <c r="L396" s="119">
        <f t="shared" si="34"/>
        <v>85.76936575052855</v>
      </c>
    </row>
    <row r="397" spans="1:12" s="4" customFormat="1" ht="16.5" customHeight="1" hidden="1">
      <c r="A397" s="44" t="s">
        <v>160</v>
      </c>
      <c r="B397" s="24" t="s">
        <v>329</v>
      </c>
      <c r="C397" s="24" t="s">
        <v>314</v>
      </c>
      <c r="D397" s="54" t="s">
        <v>63</v>
      </c>
      <c r="E397" s="24" t="s">
        <v>161</v>
      </c>
      <c r="F397" s="216">
        <f>G397</f>
        <v>0</v>
      </c>
      <c r="G397" s="209"/>
      <c r="H397" s="209"/>
      <c r="I397" s="217">
        <v>0</v>
      </c>
      <c r="J397" s="148" t="e">
        <f t="shared" si="29"/>
        <v>#DIV/0!</v>
      </c>
      <c r="K397" s="123">
        <f>11351.578-47.9</f>
        <v>11303.678</v>
      </c>
      <c r="L397" s="119" t="e">
        <f t="shared" si="34"/>
        <v>#DIV/0!</v>
      </c>
    </row>
    <row r="398" spans="1:12" s="4" customFormat="1" ht="23.25" customHeight="1">
      <c r="A398" s="44" t="s">
        <v>154</v>
      </c>
      <c r="B398" s="24" t="s">
        <v>329</v>
      </c>
      <c r="C398" s="24" t="s">
        <v>314</v>
      </c>
      <c r="D398" s="54" t="s">
        <v>63</v>
      </c>
      <c r="E398" s="24" t="s">
        <v>155</v>
      </c>
      <c r="F398" s="216">
        <f>G398+H398</f>
        <v>189.2</v>
      </c>
      <c r="G398" s="209">
        <v>189.2</v>
      </c>
      <c r="H398" s="209"/>
      <c r="I398" s="217">
        <v>162.27564</v>
      </c>
      <c r="J398" s="148">
        <f t="shared" si="29"/>
        <v>85.76936575052855</v>
      </c>
      <c r="K398" s="118">
        <f>K399</f>
        <v>0</v>
      </c>
      <c r="L398" s="119">
        <f t="shared" si="34"/>
        <v>85.76936575052855</v>
      </c>
    </row>
    <row r="399" spans="1:12" s="4" customFormat="1" ht="67.5" customHeight="1">
      <c r="A399" s="52" t="s">
        <v>462</v>
      </c>
      <c r="B399" s="24" t="s">
        <v>329</v>
      </c>
      <c r="C399" s="24" t="s">
        <v>314</v>
      </c>
      <c r="D399" s="54" t="s">
        <v>63</v>
      </c>
      <c r="E399" s="24" t="s">
        <v>347</v>
      </c>
      <c r="F399" s="216">
        <f>G399</f>
        <v>2905.9329299999995</v>
      </c>
      <c r="G399" s="209">
        <f>G400+G402</f>
        <v>2905.9329299999995</v>
      </c>
      <c r="H399" s="248"/>
      <c r="I399" s="217">
        <v>2905.93293</v>
      </c>
      <c r="J399" s="148">
        <f t="shared" si="29"/>
        <v>100.00000000000003</v>
      </c>
      <c r="K399" s="120"/>
      <c r="L399" s="121">
        <f t="shared" si="34"/>
        <v>100.00000000000003</v>
      </c>
    </row>
    <row r="400" spans="1:12" s="1" customFormat="1" ht="82.5" customHeight="1">
      <c r="A400" s="44" t="s">
        <v>148</v>
      </c>
      <c r="B400" s="24" t="s">
        <v>329</v>
      </c>
      <c r="C400" s="24" t="s">
        <v>314</v>
      </c>
      <c r="D400" s="54" t="s">
        <v>63</v>
      </c>
      <c r="E400" s="24" t="s">
        <v>117</v>
      </c>
      <c r="F400" s="216">
        <f>G400</f>
        <v>2905.9329299999995</v>
      </c>
      <c r="G400" s="209">
        <f>G401</f>
        <v>2905.9329299999995</v>
      </c>
      <c r="H400" s="248"/>
      <c r="I400" s="217">
        <v>2905.93293</v>
      </c>
      <c r="J400" s="148">
        <f aca="true" t="shared" si="35" ref="J400:J463">I400/F400*100</f>
        <v>100.00000000000003</v>
      </c>
      <c r="K400" s="118">
        <f>K401</f>
        <v>0</v>
      </c>
      <c r="L400" s="119">
        <f t="shared" si="34"/>
        <v>100.00000000000003</v>
      </c>
    </row>
    <row r="401" spans="1:12" s="4" customFormat="1" ht="25.5" customHeight="1">
      <c r="A401" s="44" t="s">
        <v>164</v>
      </c>
      <c r="B401" s="24" t="s">
        <v>329</v>
      </c>
      <c r="C401" s="24" t="s">
        <v>314</v>
      </c>
      <c r="D401" s="54" t="s">
        <v>63</v>
      </c>
      <c r="E401" s="24" t="s">
        <v>124</v>
      </c>
      <c r="F401" s="216">
        <f>G401</f>
        <v>2905.9329299999995</v>
      </c>
      <c r="G401" s="209">
        <f>1345.6+1625.93-36-80+30+6-38.00045-10.09072-0.965+56.03252+18.72658-11.3</f>
        <v>2905.9329299999995</v>
      </c>
      <c r="H401" s="248"/>
      <c r="I401" s="217">
        <v>2905.93293</v>
      </c>
      <c r="J401" s="148">
        <f t="shared" si="35"/>
        <v>100.00000000000003</v>
      </c>
      <c r="K401" s="118"/>
      <c r="L401" s="119">
        <f t="shared" si="34"/>
        <v>100.00000000000003</v>
      </c>
    </row>
    <row r="402" spans="1:12" s="4" customFormat="1" ht="27" customHeight="1" hidden="1">
      <c r="A402" s="44" t="s">
        <v>151</v>
      </c>
      <c r="B402" s="24" t="s">
        <v>329</v>
      </c>
      <c r="C402" s="24" t="s">
        <v>314</v>
      </c>
      <c r="D402" s="54" t="s">
        <v>63</v>
      </c>
      <c r="E402" s="24" t="s">
        <v>121</v>
      </c>
      <c r="F402" s="216">
        <f>G402</f>
        <v>0</v>
      </c>
      <c r="G402" s="209">
        <f>G403</f>
        <v>0</v>
      </c>
      <c r="H402" s="248"/>
      <c r="I402" s="217">
        <v>0</v>
      </c>
      <c r="J402" s="148" t="e">
        <f t="shared" si="35"/>
        <v>#DIV/0!</v>
      </c>
      <c r="K402" s="60">
        <f>K403</f>
        <v>0</v>
      </c>
      <c r="L402" s="119" t="e">
        <f t="shared" si="34"/>
        <v>#DIV/0!</v>
      </c>
    </row>
    <row r="403" spans="1:12" s="30" customFormat="1" ht="48" customHeight="1" hidden="1">
      <c r="A403" s="74" t="s">
        <v>152</v>
      </c>
      <c r="B403" s="24" t="s">
        <v>329</v>
      </c>
      <c r="C403" s="24" t="s">
        <v>314</v>
      </c>
      <c r="D403" s="54" t="s">
        <v>63</v>
      </c>
      <c r="E403" s="24" t="s">
        <v>153</v>
      </c>
      <c r="F403" s="216">
        <f>G403</f>
        <v>0</v>
      </c>
      <c r="G403" s="209">
        <f>36+80-30-6-59-21</f>
        <v>0</v>
      </c>
      <c r="H403" s="248"/>
      <c r="I403" s="217">
        <v>0</v>
      </c>
      <c r="J403" s="148" t="e">
        <f t="shared" si="35"/>
        <v>#DIV/0!</v>
      </c>
      <c r="K403" s="118">
        <f>K405</f>
        <v>0</v>
      </c>
      <c r="L403" s="121" t="e">
        <f t="shared" si="34"/>
        <v>#DIV/0!</v>
      </c>
    </row>
    <row r="404" spans="1:12" s="1" customFormat="1" ht="42" customHeight="1">
      <c r="A404" s="52" t="s">
        <v>27</v>
      </c>
      <c r="B404" s="24" t="s">
        <v>329</v>
      </c>
      <c r="C404" s="24" t="s">
        <v>314</v>
      </c>
      <c r="D404" s="32" t="s">
        <v>26</v>
      </c>
      <c r="E404" s="24" t="s">
        <v>347</v>
      </c>
      <c r="F404" s="216">
        <f>G404+H404</f>
        <v>111</v>
      </c>
      <c r="G404" s="209">
        <f>G405</f>
        <v>111</v>
      </c>
      <c r="H404" s="236"/>
      <c r="I404" s="217">
        <v>111</v>
      </c>
      <c r="J404" s="148">
        <f t="shared" si="35"/>
        <v>100</v>
      </c>
      <c r="K404" s="118"/>
      <c r="L404" s="119">
        <f t="shared" si="34"/>
        <v>100</v>
      </c>
    </row>
    <row r="405" spans="1:12" s="4" customFormat="1" ht="34.5" customHeight="1">
      <c r="A405" s="44" t="s">
        <v>151</v>
      </c>
      <c r="B405" s="24" t="s">
        <v>329</v>
      </c>
      <c r="C405" s="24" t="s">
        <v>314</v>
      </c>
      <c r="D405" s="32" t="s">
        <v>28</v>
      </c>
      <c r="E405" s="24" t="s">
        <v>121</v>
      </c>
      <c r="F405" s="216">
        <f>G405+H405</f>
        <v>111</v>
      </c>
      <c r="G405" s="209">
        <f>G406</f>
        <v>111</v>
      </c>
      <c r="H405" s="209"/>
      <c r="I405" s="217">
        <v>111</v>
      </c>
      <c r="J405" s="148">
        <f t="shared" si="35"/>
        <v>100</v>
      </c>
      <c r="K405" s="118"/>
      <c r="L405" s="119">
        <f t="shared" si="34"/>
        <v>100</v>
      </c>
    </row>
    <row r="406" spans="1:12" s="30" customFormat="1" ht="40.5" customHeight="1">
      <c r="A406" s="74" t="s">
        <v>152</v>
      </c>
      <c r="B406" s="24" t="s">
        <v>329</v>
      </c>
      <c r="C406" s="24" t="s">
        <v>314</v>
      </c>
      <c r="D406" s="32" t="s">
        <v>29</v>
      </c>
      <c r="E406" s="24" t="s">
        <v>153</v>
      </c>
      <c r="F406" s="216">
        <f>G406+H406</f>
        <v>111</v>
      </c>
      <c r="G406" s="209">
        <v>111</v>
      </c>
      <c r="H406" s="209"/>
      <c r="I406" s="217">
        <v>111</v>
      </c>
      <c r="J406" s="148">
        <f t="shared" si="35"/>
        <v>100</v>
      </c>
      <c r="K406" s="118"/>
      <c r="L406" s="121">
        <f t="shared" si="34"/>
        <v>100</v>
      </c>
    </row>
    <row r="407" spans="1:12" s="3" customFormat="1" ht="68.25" customHeight="1">
      <c r="A407" s="51" t="s">
        <v>409</v>
      </c>
      <c r="B407" s="45" t="s">
        <v>329</v>
      </c>
      <c r="C407" s="45" t="s">
        <v>314</v>
      </c>
      <c r="D407" s="80" t="s">
        <v>65</v>
      </c>
      <c r="E407" s="45" t="s">
        <v>347</v>
      </c>
      <c r="F407" s="218">
        <f>F408+F413</f>
        <v>688</v>
      </c>
      <c r="G407" s="218">
        <f>G408+G413</f>
        <v>688</v>
      </c>
      <c r="H407" s="218">
        <f>H408+H413</f>
        <v>0</v>
      </c>
      <c r="I407" s="218">
        <f>I408+I413</f>
        <v>278.58482000000004</v>
      </c>
      <c r="J407" s="149">
        <f t="shared" si="35"/>
        <v>40.491979651162794</v>
      </c>
      <c r="K407" s="118"/>
      <c r="L407" s="119">
        <f t="shared" si="34"/>
        <v>40.491979651162794</v>
      </c>
    </row>
    <row r="408" spans="1:12" s="3" customFormat="1" ht="48" customHeight="1" hidden="1">
      <c r="A408" s="44" t="s">
        <v>339</v>
      </c>
      <c r="B408" s="24" t="s">
        <v>329</v>
      </c>
      <c r="C408" s="24" t="s">
        <v>314</v>
      </c>
      <c r="D408" s="54" t="s">
        <v>66</v>
      </c>
      <c r="E408" s="24" t="s">
        <v>347</v>
      </c>
      <c r="F408" s="216">
        <f t="shared" si="26"/>
        <v>438</v>
      </c>
      <c r="G408" s="209">
        <f>G409+G411</f>
        <v>438</v>
      </c>
      <c r="H408" s="209"/>
      <c r="I408" s="217">
        <v>164.54185</v>
      </c>
      <c r="J408" s="148">
        <f t="shared" si="35"/>
        <v>37.56663242009133</v>
      </c>
      <c r="K408" s="118"/>
      <c r="L408" s="119">
        <f aca="true" t="shared" si="36" ref="L408:L469">I408/F408*100</f>
        <v>37.56663242009133</v>
      </c>
    </row>
    <row r="409" spans="1:12" ht="35.25" customHeight="1" hidden="1">
      <c r="A409" s="44" t="s">
        <v>148</v>
      </c>
      <c r="B409" s="24" t="s">
        <v>329</v>
      </c>
      <c r="C409" s="24" t="s">
        <v>314</v>
      </c>
      <c r="D409" s="54" t="s">
        <v>67</v>
      </c>
      <c r="E409" s="24" t="s">
        <v>117</v>
      </c>
      <c r="F409" s="216">
        <f>G409</f>
        <v>2.31083</v>
      </c>
      <c r="G409" s="209">
        <f>G410</f>
        <v>2.31083</v>
      </c>
      <c r="H409" s="209"/>
      <c r="I409" s="217">
        <f>I410</f>
        <v>2.3108</v>
      </c>
      <c r="J409" s="148">
        <f t="shared" si="35"/>
        <v>99.99870176516662</v>
      </c>
      <c r="K409" s="147">
        <f>K13+K141+K146+K151+K184+K213+K324+K380+K386+K392+K361</f>
        <v>24158.549939999997</v>
      </c>
      <c r="L409" s="119">
        <f t="shared" si="36"/>
        <v>99.99870176516662</v>
      </c>
    </row>
    <row r="410" spans="1:12" ht="35.25" customHeight="1" hidden="1">
      <c r="A410" s="44" t="s">
        <v>164</v>
      </c>
      <c r="B410" s="24" t="s">
        <v>329</v>
      </c>
      <c r="C410" s="24" t="s">
        <v>314</v>
      </c>
      <c r="D410" s="54" t="s">
        <v>67</v>
      </c>
      <c r="E410" s="24" t="s">
        <v>124</v>
      </c>
      <c r="F410" s="216">
        <f>G410</f>
        <v>2.31083</v>
      </c>
      <c r="G410" s="209">
        <v>2.31083</v>
      </c>
      <c r="H410" s="209"/>
      <c r="I410" s="217">
        <v>2.3108</v>
      </c>
      <c r="J410" s="148">
        <f t="shared" si="35"/>
        <v>99.99870176516662</v>
      </c>
      <c r="K410" s="4"/>
      <c r="L410" s="119">
        <f t="shared" si="36"/>
        <v>99.99870176516662</v>
      </c>
    </row>
    <row r="411" spans="1:12" ht="33" customHeight="1">
      <c r="A411" s="44" t="s">
        <v>151</v>
      </c>
      <c r="B411" s="24" t="s">
        <v>329</v>
      </c>
      <c r="C411" s="24" t="s">
        <v>314</v>
      </c>
      <c r="D411" s="54" t="s">
        <v>67</v>
      </c>
      <c r="E411" s="24" t="s">
        <v>121</v>
      </c>
      <c r="F411" s="216">
        <f t="shared" si="26"/>
        <v>435.68917</v>
      </c>
      <c r="G411" s="209">
        <f>G412</f>
        <v>435.68917</v>
      </c>
      <c r="H411" s="209"/>
      <c r="I411" s="217">
        <f>I412</f>
        <v>162.23102</v>
      </c>
      <c r="J411" s="148">
        <f t="shared" si="35"/>
        <v>37.23549520406945</v>
      </c>
      <c r="K411" s="30"/>
      <c r="L411" s="121">
        <f t="shared" si="36"/>
        <v>37.23549520406945</v>
      </c>
    </row>
    <row r="412" spans="1:12" ht="31.5" customHeight="1">
      <c r="A412" s="74" t="s">
        <v>152</v>
      </c>
      <c r="B412" s="24" t="s">
        <v>329</v>
      </c>
      <c r="C412" s="24" t="s">
        <v>314</v>
      </c>
      <c r="D412" s="54" t="s">
        <v>67</v>
      </c>
      <c r="E412" s="24" t="s">
        <v>153</v>
      </c>
      <c r="F412" s="216">
        <f t="shared" si="26"/>
        <v>435.68917</v>
      </c>
      <c r="G412" s="209">
        <f>300+48+90-2.31083</f>
        <v>435.68917</v>
      </c>
      <c r="H412" s="209"/>
      <c r="I412" s="217">
        <v>162.23102</v>
      </c>
      <c r="J412" s="148">
        <f t="shared" si="35"/>
        <v>37.23549520406945</v>
      </c>
      <c r="K412" s="1"/>
      <c r="L412" s="119">
        <f t="shared" si="36"/>
        <v>37.23549520406945</v>
      </c>
    </row>
    <row r="413" spans="1:12" ht="27.75" customHeight="1">
      <c r="A413" s="44" t="s">
        <v>99</v>
      </c>
      <c r="B413" s="24" t="s">
        <v>329</v>
      </c>
      <c r="C413" s="24" t="s">
        <v>314</v>
      </c>
      <c r="D413" s="54" t="s">
        <v>68</v>
      </c>
      <c r="E413" s="24" t="s">
        <v>347</v>
      </c>
      <c r="F413" s="216">
        <f t="shared" si="26"/>
        <v>250</v>
      </c>
      <c r="G413" s="209">
        <f>G414</f>
        <v>250</v>
      </c>
      <c r="H413" s="209"/>
      <c r="I413" s="217">
        <f>I414</f>
        <v>114.04297</v>
      </c>
      <c r="J413" s="148">
        <f t="shared" si="35"/>
        <v>45.617188</v>
      </c>
      <c r="K413" s="4"/>
      <c r="L413" s="119">
        <f t="shared" si="36"/>
        <v>45.617188</v>
      </c>
    </row>
    <row r="414" spans="1:12" ht="29.25" customHeight="1">
      <c r="A414" s="44" t="s">
        <v>174</v>
      </c>
      <c r="B414" s="24" t="s">
        <v>329</v>
      </c>
      <c r="C414" s="24" t="s">
        <v>314</v>
      </c>
      <c r="D414" s="54" t="s">
        <v>68</v>
      </c>
      <c r="E414" s="24" t="s">
        <v>175</v>
      </c>
      <c r="F414" s="216">
        <f t="shared" si="26"/>
        <v>250</v>
      </c>
      <c r="G414" s="209">
        <f>G415</f>
        <v>250</v>
      </c>
      <c r="H414" s="209"/>
      <c r="I414" s="217">
        <f>I415</f>
        <v>114.04297</v>
      </c>
      <c r="J414" s="148">
        <f t="shared" si="35"/>
        <v>45.617188</v>
      </c>
      <c r="K414" s="30"/>
      <c r="L414" s="119">
        <f t="shared" si="36"/>
        <v>45.617188</v>
      </c>
    </row>
    <row r="415" spans="1:12" ht="29.25" customHeight="1">
      <c r="A415" s="44" t="s">
        <v>176</v>
      </c>
      <c r="B415" s="24" t="s">
        <v>329</v>
      </c>
      <c r="C415" s="24" t="s">
        <v>314</v>
      </c>
      <c r="D415" s="54" t="s">
        <v>68</v>
      </c>
      <c r="E415" s="24" t="s">
        <v>240</v>
      </c>
      <c r="F415" s="216">
        <f t="shared" si="26"/>
        <v>250</v>
      </c>
      <c r="G415" s="209">
        <f>298-48</f>
        <v>250</v>
      </c>
      <c r="H415" s="209"/>
      <c r="I415" s="217">
        <f>114.04297</f>
        <v>114.04297</v>
      </c>
      <c r="J415" s="148">
        <f t="shared" si="35"/>
        <v>45.617188</v>
      </c>
      <c r="L415" s="119">
        <f t="shared" si="36"/>
        <v>45.617188</v>
      </c>
    </row>
    <row r="416" spans="1:12" s="30" customFormat="1" ht="68.25" customHeight="1">
      <c r="A416" s="51" t="s">
        <v>416</v>
      </c>
      <c r="B416" s="45" t="s">
        <v>329</v>
      </c>
      <c r="C416" s="45" t="s">
        <v>314</v>
      </c>
      <c r="D416" s="80" t="s">
        <v>32</v>
      </c>
      <c r="E416" s="45" t="s">
        <v>347</v>
      </c>
      <c r="F416" s="218">
        <f t="shared" si="26"/>
        <v>46</v>
      </c>
      <c r="G416" s="219">
        <f aca="true" t="shared" si="37" ref="G416:I417">G417</f>
        <v>46</v>
      </c>
      <c r="H416" s="219">
        <f t="shared" si="37"/>
        <v>0</v>
      </c>
      <c r="I416" s="220">
        <f t="shared" si="37"/>
        <v>46</v>
      </c>
      <c r="J416" s="149">
        <f t="shared" si="35"/>
        <v>100</v>
      </c>
      <c r="K416"/>
      <c r="L416" s="121">
        <f t="shared" si="36"/>
        <v>100</v>
      </c>
    </row>
    <row r="417" spans="1:12" ht="23.25" customHeight="1">
      <c r="A417" s="44" t="s">
        <v>339</v>
      </c>
      <c r="B417" s="24" t="s">
        <v>329</v>
      </c>
      <c r="C417" s="24" t="s">
        <v>314</v>
      </c>
      <c r="D417" s="54" t="s">
        <v>33</v>
      </c>
      <c r="E417" s="24" t="s">
        <v>347</v>
      </c>
      <c r="F417" s="216">
        <f t="shared" si="26"/>
        <v>46</v>
      </c>
      <c r="G417" s="209">
        <f t="shared" si="37"/>
        <v>46</v>
      </c>
      <c r="H417" s="209">
        <f t="shared" si="37"/>
        <v>0</v>
      </c>
      <c r="I417" s="217">
        <f t="shared" si="37"/>
        <v>46</v>
      </c>
      <c r="J417" s="148">
        <f t="shared" si="35"/>
        <v>100</v>
      </c>
      <c r="L417" s="119">
        <f t="shared" si="36"/>
        <v>100</v>
      </c>
    </row>
    <row r="418" spans="1:12" ht="38.25" customHeight="1">
      <c r="A418" s="44" t="s">
        <v>151</v>
      </c>
      <c r="B418" s="24" t="s">
        <v>329</v>
      </c>
      <c r="C418" s="24" t="s">
        <v>314</v>
      </c>
      <c r="D418" s="54" t="s">
        <v>69</v>
      </c>
      <c r="E418" s="24" t="s">
        <v>121</v>
      </c>
      <c r="F418" s="216">
        <f t="shared" si="26"/>
        <v>46</v>
      </c>
      <c r="G418" s="209">
        <f>G419</f>
        <v>46</v>
      </c>
      <c r="H418" s="209"/>
      <c r="I418" s="217">
        <f>I419</f>
        <v>46</v>
      </c>
      <c r="J418" s="148">
        <f t="shared" si="35"/>
        <v>100</v>
      </c>
      <c r="L418" s="119">
        <f t="shared" si="36"/>
        <v>100</v>
      </c>
    </row>
    <row r="419" spans="1:12" ht="31.5" customHeight="1">
      <c r="A419" s="74" t="s">
        <v>152</v>
      </c>
      <c r="B419" s="24" t="s">
        <v>329</v>
      </c>
      <c r="C419" s="24" t="s">
        <v>314</v>
      </c>
      <c r="D419" s="54" t="s">
        <v>69</v>
      </c>
      <c r="E419" s="24" t="s">
        <v>153</v>
      </c>
      <c r="F419" s="216">
        <f t="shared" si="26"/>
        <v>46</v>
      </c>
      <c r="G419" s="209">
        <f>124-78</f>
        <v>46</v>
      </c>
      <c r="H419" s="209"/>
      <c r="I419" s="217">
        <v>46</v>
      </c>
      <c r="J419" s="148">
        <f t="shared" si="35"/>
        <v>100</v>
      </c>
      <c r="L419" s="119">
        <f t="shared" si="36"/>
        <v>100</v>
      </c>
    </row>
    <row r="420" spans="1:12" s="18" customFormat="1" ht="71.25" customHeight="1">
      <c r="A420" s="62" t="s">
        <v>453</v>
      </c>
      <c r="B420" s="45" t="s">
        <v>329</v>
      </c>
      <c r="C420" s="45" t="s">
        <v>314</v>
      </c>
      <c r="D420" s="80" t="s">
        <v>451</v>
      </c>
      <c r="E420" s="45" t="s">
        <v>347</v>
      </c>
      <c r="F420" s="218">
        <f aca="true" t="shared" si="38" ref="F420:F426">G420</f>
        <v>946.7</v>
      </c>
      <c r="G420" s="219">
        <f>G421</f>
        <v>946.7</v>
      </c>
      <c r="H420" s="219"/>
      <c r="I420" s="220">
        <f>I421</f>
        <v>946.7</v>
      </c>
      <c r="J420" s="149">
        <f>I420/F420*100</f>
        <v>100</v>
      </c>
      <c r="K420"/>
      <c r="L420" s="119">
        <f t="shared" si="36"/>
        <v>100</v>
      </c>
    </row>
    <row r="421" spans="1:12" s="18" customFormat="1" ht="36" customHeight="1">
      <c r="A421" s="44" t="s">
        <v>174</v>
      </c>
      <c r="B421" s="24" t="s">
        <v>329</v>
      </c>
      <c r="C421" s="24" t="s">
        <v>314</v>
      </c>
      <c r="D421" s="54" t="s">
        <v>452</v>
      </c>
      <c r="E421" s="24" t="s">
        <v>175</v>
      </c>
      <c r="F421" s="216">
        <f t="shared" si="38"/>
        <v>946.7</v>
      </c>
      <c r="G421" s="209">
        <f>G422</f>
        <v>946.7</v>
      </c>
      <c r="H421" s="209"/>
      <c r="I421" s="217">
        <f>I422</f>
        <v>946.7</v>
      </c>
      <c r="J421" s="148">
        <f t="shared" si="35"/>
        <v>100</v>
      </c>
      <c r="K421"/>
      <c r="L421" s="121">
        <f t="shared" si="36"/>
        <v>100</v>
      </c>
    </row>
    <row r="422" spans="1:12" s="18" customFormat="1" ht="34.5" customHeight="1">
      <c r="A422" s="44" t="s">
        <v>176</v>
      </c>
      <c r="B422" s="24" t="s">
        <v>329</v>
      </c>
      <c r="C422" s="24" t="s">
        <v>314</v>
      </c>
      <c r="D422" s="54" t="s">
        <v>452</v>
      </c>
      <c r="E422" s="24" t="s">
        <v>240</v>
      </c>
      <c r="F422" s="216">
        <f t="shared" si="38"/>
        <v>946.7</v>
      </c>
      <c r="G422" s="209">
        <f>840+106.7</f>
        <v>946.7</v>
      </c>
      <c r="H422" s="209"/>
      <c r="I422" s="217">
        <f>946.7</f>
        <v>946.7</v>
      </c>
      <c r="J422" s="148">
        <f t="shared" si="35"/>
        <v>100</v>
      </c>
      <c r="K422" s="49"/>
      <c r="L422" s="121">
        <f t="shared" si="36"/>
        <v>100</v>
      </c>
    </row>
    <row r="423" spans="1:12" s="18" customFormat="1" ht="49.5" customHeight="1" hidden="1">
      <c r="A423" s="62" t="s">
        <v>371</v>
      </c>
      <c r="B423" s="45" t="s">
        <v>329</v>
      </c>
      <c r="C423" s="45" t="s">
        <v>314</v>
      </c>
      <c r="D423" s="80" t="s">
        <v>35</v>
      </c>
      <c r="E423" s="45" t="s">
        <v>347</v>
      </c>
      <c r="F423" s="218">
        <f t="shared" si="38"/>
        <v>0</v>
      </c>
      <c r="G423" s="219">
        <f>G424</f>
        <v>0</v>
      </c>
      <c r="H423" s="219"/>
      <c r="I423" s="220">
        <v>0</v>
      </c>
      <c r="J423" s="149" t="e">
        <f t="shared" si="35"/>
        <v>#DIV/0!</v>
      </c>
      <c r="K423"/>
      <c r="L423" s="119" t="e">
        <f t="shared" si="36"/>
        <v>#DIV/0!</v>
      </c>
    </row>
    <row r="424" spans="1:12" s="18" customFormat="1" ht="23.25" customHeight="1" hidden="1">
      <c r="A424" s="74" t="s">
        <v>151</v>
      </c>
      <c r="B424" s="24" t="s">
        <v>329</v>
      </c>
      <c r="C424" s="24" t="s">
        <v>314</v>
      </c>
      <c r="D424" s="54" t="s">
        <v>427</v>
      </c>
      <c r="E424" s="24" t="s">
        <v>121</v>
      </c>
      <c r="F424" s="216">
        <f t="shared" si="38"/>
        <v>0</v>
      </c>
      <c r="G424" s="209">
        <f>G425+G426</f>
        <v>0</v>
      </c>
      <c r="H424" s="209"/>
      <c r="I424" s="217">
        <v>0</v>
      </c>
      <c r="J424" s="148" t="e">
        <f t="shared" si="35"/>
        <v>#DIV/0!</v>
      </c>
      <c r="K424" s="30"/>
      <c r="L424" s="119" t="e">
        <f t="shared" si="36"/>
        <v>#DIV/0!</v>
      </c>
    </row>
    <row r="425" spans="1:12" s="43" customFormat="1" ht="48" customHeight="1" hidden="1">
      <c r="A425" s="74" t="s">
        <v>638</v>
      </c>
      <c r="B425" s="24" t="s">
        <v>329</v>
      </c>
      <c r="C425" s="24" t="s">
        <v>314</v>
      </c>
      <c r="D425" s="54" t="s">
        <v>455</v>
      </c>
      <c r="E425" s="24" t="s">
        <v>153</v>
      </c>
      <c r="F425" s="216">
        <f t="shared" si="38"/>
        <v>0</v>
      </c>
      <c r="G425" s="209">
        <v>0</v>
      </c>
      <c r="H425" s="209"/>
      <c r="I425" s="217">
        <v>0</v>
      </c>
      <c r="J425" s="148" t="e">
        <f t="shared" si="35"/>
        <v>#DIV/0!</v>
      </c>
      <c r="K425"/>
      <c r="L425" s="121" t="e">
        <f t="shared" si="36"/>
        <v>#DIV/0!</v>
      </c>
    </row>
    <row r="426" spans="1:12" s="43" customFormat="1" ht="32.25" customHeight="1" hidden="1">
      <c r="A426" s="74" t="s">
        <v>639</v>
      </c>
      <c r="B426" s="24" t="s">
        <v>329</v>
      </c>
      <c r="C426" s="24" t="s">
        <v>314</v>
      </c>
      <c r="D426" s="54" t="s">
        <v>456</v>
      </c>
      <c r="E426" s="24" t="s">
        <v>153</v>
      </c>
      <c r="F426" s="216">
        <f t="shared" si="38"/>
        <v>0</v>
      </c>
      <c r="G426" s="209">
        <v>0</v>
      </c>
      <c r="H426" s="209"/>
      <c r="I426" s="217">
        <v>0</v>
      </c>
      <c r="J426" s="148" t="e">
        <f t="shared" si="35"/>
        <v>#DIV/0!</v>
      </c>
      <c r="K426"/>
      <c r="L426" s="119" t="e">
        <f t="shared" si="36"/>
        <v>#DIV/0!</v>
      </c>
    </row>
    <row r="427" spans="1:12" s="1" customFormat="1" ht="31.5" customHeight="1">
      <c r="A427" s="44" t="s">
        <v>115</v>
      </c>
      <c r="B427" s="24" t="s">
        <v>329</v>
      </c>
      <c r="C427" s="24" t="s">
        <v>314</v>
      </c>
      <c r="D427" s="54" t="s">
        <v>7</v>
      </c>
      <c r="E427" s="24" t="s">
        <v>347</v>
      </c>
      <c r="F427" s="216">
        <f t="shared" si="26"/>
        <v>4572.897999999999</v>
      </c>
      <c r="G427" s="209">
        <f>G428</f>
        <v>2753.58</v>
      </c>
      <c r="H427" s="209">
        <f>H428</f>
        <v>1819.3179999999998</v>
      </c>
      <c r="I427" s="217">
        <f>I428</f>
        <v>4283.40239</v>
      </c>
      <c r="J427" s="148">
        <f t="shared" si="35"/>
        <v>93.66931844970084</v>
      </c>
      <c r="K427"/>
      <c r="L427" s="119">
        <f t="shared" si="36"/>
        <v>93.66931844970084</v>
      </c>
    </row>
    <row r="428" spans="1:12" s="1" customFormat="1" ht="37.5" customHeight="1">
      <c r="A428" s="44" t="s">
        <v>116</v>
      </c>
      <c r="B428" s="24" t="s">
        <v>329</v>
      </c>
      <c r="C428" s="24" t="s">
        <v>314</v>
      </c>
      <c r="D428" s="54" t="s">
        <v>8</v>
      </c>
      <c r="E428" s="24" t="s">
        <v>347</v>
      </c>
      <c r="F428" s="216">
        <f>F429+F434</f>
        <v>4572.897999999999</v>
      </c>
      <c r="G428" s="216">
        <f>G429+G434</f>
        <v>2753.58</v>
      </c>
      <c r="H428" s="216">
        <f>H429+H434</f>
        <v>1819.3179999999998</v>
      </c>
      <c r="I428" s="216">
        <f>I429+I434</f>
        <v>4283.40239</v>
      </c>
      <c r="J428" s="148">
        <f t="shared" si="35"/>
        <v>93.66931844970084</v>
      </c>
      <c r="K428" s="158"/>
      <c r="L428" s="121">
        <f t="shared" si="36"/>
        <v>93.66931844970084</v>
      </c>
    </row>
    <row r="429" spans="1:12" s="1" customFormat="1" ht="48.75" customHeight="1">
      <c r="A429" s="44" t="s">
        <v>120</v>
      </c>
      <c r="B429" s="24" t="s">
        <v>329</v>
      </c>
      <c r="C429" s="24" t="s">
        <v>314</v>
      </c>
      <c r="D429" s="54" t="s">
        <v>11</v>
      </c>
      <c r="E429" s="24" t="s">
        <v>347</v>
      </c>
      <c r="F429" s="216">
        <f t="shared" si="26"/>
        <v>2753.58</v>
      </c>
      <c r="G429" s="209">
        <f>G430+G432</f>
        <v>2753.58</v>
      </c>
      <c r="H429" s="209">
        <f>SUM(H430:H433)</f>
        <v>0</v>
      </c>
      <c r="I429" s="217">
        <v>2464.08439</v>
      </c>
      <c r="J429" s="148">
        <f t="shared" si="35"/>
        <v>89.4865734788893</v>
      </c>
      <c r="K429" s="18"/>
      <c r="L429" s="119">
        <f t="shared" si="36"/>
        <v>89.4865734788893</v>
      </c>
    </row>
    <row r="430" spans="1:12" s="1" customFormat="1" ht="45" customHeight="1">
      <c r="A430" s="44" t="s">
        <v>148</v>
      </c>
      <c r="B430" s="24" t="s">
        <v>329</v>
      </c>
      <c r="C430" s="24" t="s">
        <v>314</v>
      </c>
      <c r="D430" s="54" t="s">
        <v>11</v>
      </c>
      <c r="E430" s="24" t="s">
        <v>117</v>
      </c>
      <c r="F430" s="216">
        <f t="shared" si="26"/>
        <v>2545.58</v>
      </c>
      <c r="G430" s="209">
        <f>G431</f>
        <v>2545.58</v>
      </c>
      <c r="H430" s="209"/>
      <c r="I430" s="217">
        <f>I431</f>
        <v>2289.40866</v>
      </c>
      <c r="J430" s="148">
        <f t="shared" si="35"/>
        <v>89.93662190934876</v>
      </c>
      <c r="K430" s="18"/>
      <c r="L430" s="119">
        <f t="shared" si="36"/>
        <v>89.93662190934876</v>
      </c>
    </row>
    <row r="431" spans="1:12" s="4" customFormat="1" ht="48.75" customHeight="1">
      <c r="A431" s="44" t="s">
        <v>150</v>
      </c>
      <c r="B431" s="24" t="s">
        <v>329</v>
      </c>
      <c r="C431" s="24" t="s">
        <v>314</v>
      </c>
      <c r="D431" s="54" t="s">
        <v>11</v>
      </c>
      <c r="E431" s="24" t="s">
        <v>149</v>
      </c>
      <c r="F431" s="216">
        <f t="shared" si="26"/>
        <v>2545.58</v>
      </c>
      <c r="G431" s="209">
        <f>3026.58-20-140-221-100</f>
        <v>2545.58</v>
      </c>
      <c r="H431" s="209"/>
      <c r="I431" s="217">
        <v>2289.40866</v>
      </c>
      <c r="J431" s="148">
        <f t="shared" si="35"/>
        <v>89.93662190934876</v>
      </c>
      <c r="K431" s="18"/>
      <c r="L431" s="121">
        <f t="shared" si="36"/>
        <v>89.93662190934876</v>
      </c>
    </row>
    <row r="432" spans="1:12" s="4" customFormat="1" ht="47.25" customHeight="1">
      <c r="A432" s="44" t="s">
        <v>151</v>
      </c>
      <c r="B432" s="24" t="s">
        <v>329</v>
      </c>
      <c r="C432" s="24" t="s">
        <v>314</v>
      </c>
      <c r="D432" s="54" t="s">
        <v>11</v>
      </c>
      <c r="E432" s="24" t="s">
        <v>121</v>
      </c>
      <c r="F432" s="216">
        <f t="shared" si="26"/>
        <v>208</v>
      </c>
      <c r="G432" s="209">
        <f>G433</f>
        <v>208</v>
      </c>
      <c r="H432" s="209"/>
      <c r="I432" s="217">
        <f>I433</f>
        <v>174.67573</v>
      </c>
      <c r="J432" s="148">
        <f t="shared" si="35"/>
        <v>83.97871634615383</v>
      </c>
      <c r="K432" s="18"/>
      <c r="L432" s="119">
        <f t="shared" si="36"/>
        <v>83.97871634615383</v>
      </c>
    </row>
    <row r="433" spans="1:12" s="4" customFormat="1" ht="33" customHeight="1">
      <c r="A433" s="74" t="s">
        <v>152</v>
      </c>
      <c r="B433" s="24" t="s">
        <v>329</v>
      </c>
      <c r="C433" s="24" t="s">
        <v>314</v>
      </c>
      <c r="D433" s="54" t="s">
        <v>11</v>
      </c>
      <c r="E433" s="24" t="s">
        <v>153</v>
      </c>
      <c r="F433" s="216">
        <f t="shared" si="26"/>
        <v>208</v>
      </c>
      <c r="G433" s="209">
        <f>202-15+10.548+10.452</f>
        <v>208</v>
      </c>
      <c r="H433" s="209"/>
      <c r="I433" s="217">
        <v>174.67573</v>
      </c>
      <c r="J433" s="148">
        <f t="shared" si="35"/>
        <v>83.97871634615383</v>
      </c>
      <c r="K433" s="43"/>
      <c r="L433" s="119">
        <f t="shared" si="36"/>
        <v>83.97871634615383</v>
      </c>
    </row>
    <row r="434" spans="1:12" ht="67.5" customHeight="1">
      <c r="A434" s="233" t="s">
        <v>573</v>
      </c>
      <c r="B434" s="31" t="s">
        <v>329</v>
      </c>
      <c r="C434" s="31" t="s">
        <v>314</v>
      </c>
      <c r="D434" s="92" t="s">
        <v>640</v>
      </c>
      <c r="E434" s="31" t="s">
        <v>347</v>
      </c>
      <c r="F434" s="214">
        <f t="shared" si="26"/>
        <v>1819.3179999999998</v>
      </c>
      <c r="G434" s="226">
        <v>0</v>
      </c>
      <c r="H434" s="226">
        <f>H435+H437</f>
        <v>1819.3179999999998</v>
      </c>
      <c r="I434" s="228">
        <v>1819.318</v>
      </c>
      <c r="J434" s="150">
        <f t="shared" si="35"/>
        <v>100.00000000000003</v>
      </c>
      <c r="K434" s="43"/>
      <c r="L434" s="119">
        <f t="shared" si="36"/>
        <v>100.00000000000003</v>
      </c>
    </row>
    <row r="435" spans="1:12" ht="96.75" customHeight="1">
      <c r="A435" s="44" t="s">
        <v>148</v>
      </c>
      <c r="B435" s="24" t="s">
        <v>329</v>
      </c>
      <c r="C435" s="24" t="s">
        <v>314</v>
      </c>
      <c r="D435" s="54" t="s">
        <v>640</v>
      </c>
      <c r="E435" s="24" t="s">
        <v>117</v>
      </c>
      <c r="F435" s="216">
        <f t="shared" si="26"/>
        <v>1201.77479</v>
      </c>
      <c r="G435" s="209"/>
      <c r="H435" s="209">
        <f>H436</f>
        <v>1201.77479</v>
      </c>
      <c r="I435" s="217">
        <f>I436</f>
        <v>1201.77479</v>
      </c>
      <c r="J435" s="148">
        <f t="shared" si="35"/>
        <v>100</v>
      </c>
      <c r="K435" s="1"/>
      <c r="L435" s="119">
        <f t="shared" si="36"/>
        <v>100</v>
      </c>
    </row>
    <row r="436" spans="1:12" ht="35.25" customHeight="1">
      <c r="A436" s="74" t="s">
        <v>150</v>
      </c>
      <c r="B436" s="24" t="s">
        <v>329</v>
      </c>
      <c r="C436" s="24" t="s">
        <v>314</v>
      </c>
      <c r="D436" s="54" t="s">
        <v>640</v>
      </c>
      <c r="E436" s="24" t="s">
        <v>149</v>
      </c>
      <c r="F436" s="216">
        <f t="shared" si="26"/>
        <v>1201.77479</v>
      </c>
      <c r="G436" s="209"/>
      <c r="H436" s="209">
        <f>1646.488-291-87-66.71321</f>
        <v>1201.77479</v>
      </c>
      <c r="I436" s="217">
        <v>1201.77479</v>
      </c>
      <c r="J436" s="148">
        <f t="shared" si="35"/>
        <v>100</v>
      </c>
      <c r="K436" s="1"/>
      <c r="L436" s="119">
        <f t="shared" si="36"/>
        <v>100</v>
      </c>
    </row>
    <row r="437" spans="1:12" ht="29.25" customHeight="1">
      <c r="A437" s="44" t="s">
        <v>151</v>
      </c>
      <c r="B437" s="24" t="s">
        <v>329</v>
      </c>
      <c r="C437" s="24" t="s">
        <v>314</v>
      </c>
      <c r="D437" s="54" t="s">
        <v>640</v>
      </c>
      <c r="E437" s="24" t="s">
        <v>121</v>
      </c>
      <c r="F437" s="216">
        <f t="shared" si="26"/>
        <v>617.5432099999999</v>
      </c>
      <c r="G437" s="209"/>
      <c r="H437" s="209">
        <f>H438</f>
        <v>617.5432099999999</v>
      </c>
      <c r="I437" s="217">
        <f>I438</f>
        <v>617.54321</v>
      </c>
      <c r="J437" s="148">
        <f t="shared" si="35"/>
        <v>100.00000000000003</v>
      </c>
      <c r="K437" s="1"/>
      <c r="L437" s="121">
        <f t="shared" si="36"/>
        <v>100.00000000000003</v>
      </c>
    </row>
    <row r="438" spans="1:12" ht="34.5" customHeight="1">
      <c r="A438" s="74" t="s">
        <v>152</v>
      </c>
      <c r="B438" s="24" t="s">
        <v>329</v>
      </c>
      <c r="C438" s="24" t="s">
        <v>314</v>
      </c>
      <c r="D438" s="54" t="s">
        <v>640</v>
      </c>
      <c r="E438" s="24" t="s">
        <v>153</v>
      </c>
      <c r="F438" s="216">
        <f t="shared" si="26"/>
        <v>617.5432099999999</v>
      </c>
      <c r="G438" s="209"/>
      <c r="H438" s="209">
        <f>157.6+15.23+178+150+50+66.71321</f>
        <v>617.5432099999999</v>
      </c>
      <c r="I438" s="217">
        <v>617.54321</v>
      </c>
      <c r="J438" s="148">
        <f t="shared" si="35"/>
        <v>100.00000000000003</v>
      </c>
      <c r="K438" s="1"/>
      <c r="L438" s="119">
        <f t="shared" si="36"/>
        <v>100.00000000000003</v>
      </c>
    </row>
    <row r="439" spans="1:12" ht="61.5" customHeight="1">
      <c r="A439" s="287" t="s">
        <v>147</v>
      </c>
      <c r="B439" s="288" t="s">
        <v>317</v>
      </c>
      <c r="C439" s="288" t="s">
        <v>113</v>
      </c>
      <c r="D439" s="302" t="s">
        <v>262</v>
      </c>
      <c r="E439" s="288" t="s">
        <v>347</v>
      </c>
      <c r="F439" s="307">
        <f>F467+F464+F457+F454+F442</f>
        <v>16272.401259999999</v>
      </c>
      <c r="G439" s="307">
        <f>G467+G464+G457+G454+G442</f>
        <v>16123.15381</v>
      </c>
      <c r="H439" s="307">
        <f>H467+H464+H457+H454+H442</f>
        <v>149.24745</v>
      </c>
      <c r="I439" s="307">
        <f>I467+I464+I457+I454+I442</f>
        <v>16268.787380000002</v>
      </c>
      <c r="J439" s="290">
        <f t="shared" si="35"/>
        <v>99.97779135394799</v>
      </c>
      <c r="K439" s="308"/>
      <c r="L439" s="277">
        <f t="shared" si="36"/>
        <v>99.97779135394799</v>
      </c>
    </row>
    <row r="440" spans="1:12" ht="27.75" customHeight="1">
      <c r="A440" s="51" t="s">
        <v>382</v>
      </c>
      <c r="B440" s="45" t="s">
        <v>317</v>
      </c>
      <c r="C440" s="45" t="s">
        <v>112</v>
      </c>
      <c r="D440" s="80" t="s">
        <v>262</v>
      </c>
      <c r="E440" s="45" t="s">
        <v>347</v>
      </c>
      <c r="F440" s="219">
        <f t="shared" si="26"/>
        <v>15057.30126</v>
      </c>
      <c r="G440" s="219">
        <f>G441</f>
        <v>14908.05381</v>
      </c>
      <c r="H440" s="219">
        <f>H441</f>
        <v>149.24745</v>
      </c>
      <c r="I440" s="220">
        <f>I441</f>
        <v>15054.153610000001</v>
      </c>
      <c r="J440" s="149">
        <f t="shared" si="35"/>
        <v>99.97909552352279</v>
      </c>
      <c r="K440" s="4"/>
      <c r="L440" s="119">
        <f t="shared" si="36"/>
        <v>99.97909552352279</v>
      </c>
    </row>
    <row r="441" spans="1:12" ht="51" customHeight="1">
      <c r="A441" s="51" t="s">
        <v>412</v>
      </c>
      <c r="B441" s="45" t="s">
        <v>317</v>
      </c>
      <c r="C441" s="45" t="s">
        <v>112</v>
      </c>
      <c r="D441" s="80" t="s">
        <v>70</v>
      </c>
      <c r="E441" s="45" t="s">
        <v>347</v>
      </c>
      <c r="F441" s="218">
        <f>F442+F454+F464+F457</f>
        <v>15057.301259999998</v>
      </c>
      <c r="G441" s="218">
        <f>G442+G454+G464+G457</f>
        <v>14908.05381</v>
      </c>
      <c r="H441" s="218">
        <f>H442+H454+H464+H457</f>
        <v>149.24745</v>
      </c>
      <c r="I441" s="218">
        <f>I442+I454+I464+I457</f>
        <v>15054.153610000001</v>
      </c>
      <c r="J441" s="149">
        <f t="shared" si="35"/>
        <v>99.97909552352282</v>
      </c>
      <c r="K441" s="4"/>
      <c r="L441" s="119">
        <f t="shared" si="36"/>
        <v>99.97909552352282</v>
      </c>
    </row>
    <row r="442" spans="1:12" s="83" customFormat="1" ht="55.5" customHeight="1">
      <c r="A442" s="52" t="s">
        <v>458</v>
      </c>
      <c r="B442" s="24" t="s">
        <v>317</v>
      </c>
      <c r="C442" s="24" t="s">
        <v>112</v>
      </c>
      <c r="D442" s="54" t="s">
        <v>71</v>
      </c>
      <c r="E442" s="24" t="s">
        <v>347</v>
      </c>
      <c r="F442" s="216">
        <f>F443+F445</f>
        <v>10628.74626</v>
      </c>
      <c r="G442" s="216">
        <f>G443+G445</f>
        <v>10628.74626</v>
      </c>
      <c r="H442" s="216">
        <f>H443+H445</f>
        <v>0</v>
      </c>
      <c r="I442" s="216">
        <f>I443+I445</f>
        <v>10626.05851</v>
      </c>
      <c r="J442" s="148">
        <f t="shared" si="35"/>
        <v>99.97471244552978</v>
      </c>
      <c r="K442" s="49"/>
      <c r="L442" s="121">
        <f t="shared" si="36"/>
        <v>99.97471244552978</v>
      </c>
    </row>
    <row r="443" spans="1:12" s="83" customFormat="1" ht="38.25" customHeight="1">
      <c r="A443" s="44" t="s">
        <v>174</v>
      </c>
      <c r="B443" s="24" t="s">
        <v>317</v>
      </c>
      <c r="C443" s="24" t="s">
        <v>112</v>
      </c>
      <c r="D443" s="54" t="s">
        <v>72</v>
      </c>
      <c r="E443" s="24" t="s">
        <v>175</v>
      </c>
      <c r="F443" s="216">
        <f t="shared" si="26"/>
        <v>9237.91965</v>
      </c>
      <c r="G443" s="209">
        <f>G444</f>
        <v>9237.91965</v>
      </c>
      <c r="H443" s="209"/>
      <c r="I443" s="217">
        <f>I444</f>
        <v>9235.2319</v>
      </c>
      <c r="J443" s="148">
        <f t="shared" si="35"/>
        <v>99.97090524596629</v>
      </c>
      <c r="K443"/>
      <c r="L443" s="119">
        <f t="shared" si="36"/>
        <v>99.97090524596629</v>
      </c>
    </row>
    <row r="444" spans="1:12" s="83" customFormat="1" ht="32.25" customHeight="1">
      <c r="A444" s="44" t="s">
        <v>176</v>
      </c>
      <c r="B444" s="24" t="s">
        <v>317</v>
      </c>
      <c r="C444" s="24" t="s">
        <v>112</v>
      </c>
      <c r="D444" s="54" t="s">
        <v>73</v>
      </c>
      <c r="E444" s="24" t="s">
        <v>240</v>
      </c>
      <c r="F444" s="216">
        <f t="shared" si="26"/>
        <v>9237.91965</v>
      </c>
      <c r="G444" s="209">
        <f>6378.2+1847.22+473.3+224.19965+315</f>
        <v>9237.91965</v>
      </c>
      <c r="H444" s="209"/>
      <c r="I444" s="217">
        <v>9235.2319</v>
      </c>
      <c r="J444" s="148">
        <f t="shared" si="35"/>
        <v>99.97090524596629</v>
      </c>
      <c r="K444"/>
      <c r="L444" s="119">
        <f t="shared" si="36"/>
        <v>99.97090524596629</v>
      </c>
    </row>
    <row r="445" spans="1:12" s="36" customFormat="1" ht="29.25" customHeight="1">
      <c r="A445" s="44" t="s">
        <v>89</v>
      </c>
      <c r="B445" s="24" t="s">
        <v>317</v>
      </c>
      <c r="C445" s="24" t="s">
        <v>112</v>
      </c>
      <c r="D445" s="54" t="s">
        <v>88</v>
      </c>
      <c r="E445" s="24" t="s">
        <v>240</v>
      </c>
      <c r="F445" s="216">
        <f t="shared" si="26"/>
        <v>1390.82661</v>
      </c>
      <c r="G445" s="209">
        <f>G446</f>
        <v>1390.82661</v>
      </c>
      <c r="H445" s="209"/>
      <c r="I445" s="217">
        <f>I446</f>
        <v>1390.82661</v>
      </c>
      <c r="J445" s="148">
        <f t="shared" si="35"/>
        <v>100</v>
      </c>
      <c r="K445"/>
      <c r="L445" s="119">
        <f t="shared" si="36"/>
        <v>100</v>
      </c>
    </row>
    <row r="446" spans="1:12" ht="27.75" customHeight="1">
      <c r="A446" s="44" t="s">
        <v>176</v>
      </c>
      <c r="B446" s="24" t="s">
        <v>317</v>
      </c>
      <c r="C446" s="24" t="s">
        <v>112</v>
      </c>
      <c r="D446" s="54" t="s">
        <v>88</v>
      </c>
      <c r="E446" s="24" t="s">
        <v>240</v>
      </c>
      <c r="F446" s="216">
        <f>G446+H446</f>
        <v>1390.82661</v>
      </c>
      <c r="G446" s="209">
        <f>474.4+850.17+33.9409+32.31571</f>
        <v>1390.82661</v>
      </c>
      <c r="H446" s="209"/>
      <c r="I446" s="217">
        <v>1390.82661</v>
      </c>
      <c r="J446" s="148">
        <f t="shared" si="35"/>
        <v>100</v>
      </c>
      <c r="L446" s="119">
        <f t="shared" si="36"/>
        <v>100</v>
      </c>
    </row>
    <row r="447" spans="1:12" ht="50.25" customHeight="1" hidden="1">
      <c r="A447" s="100" t="s">
        <v>492</v>
      </c>
      <c r="B447" s="31" t="s">
        <v>317</v>
      </c>
      <c r="C447" s="31" t="s">
        <v>112</v>
      </c>
      <c r="D447" s="92" t="s">
        <v>71</v>
      </c>
      <c r="E447" s="31" t="s">
        <v>347</v>
      </c>
      <c r="F447" s="214">
        <f>G447+H447</f>
        <v>0</v>
      </c>
      <c r="G447" s="226">
        <f>G448+G451</f>
        <v>0</v>
      </c>
      <c r="H447" s="226">
        <f>H448</f>
        <v>0</v>
      </c>
      <c r="I447" s="228">
        <v>0</v>
      </c>
      <c r="J447" s="150" t="e">
        <f t="shared" si="35"/>
        <v>#DIV/0!</v>
      </c>
      <c r="L447" s="121" t="e">
        <f t="shared" si="36"/>
        <v>#DIV/0!</v>
      </c>
    </row>
    <row r="448" spans="1:12" ht="33" customHeight="1" hidden="1">
      <c r="A448" s="51" t="s">
        <v>545</v>
      </c>
      <c r="B448" s="45" t="s">
        <v>317</v>
      </c>
      <c r="C448" s="45" t="s">
        <v>112</v>
      </c>
      <c r="D448" s="80" t="s">
        <v>502</v>
      </c>
      <c r="E448" s="45" t="s">
        <v>347</v>
      </c>
      <c r="F448" s="218">
        <f>G448+H448</f>
        <v>0</v>
      </c>
      <c r="G448" s="219">
        <f>G449</f>
        <v>0</v>
      </c>
      <c r="H448" s="219">
        <f>H449</f>
        <v>0</v>
      </c>
      <c r="I448" s="220">
        <v>0</v>
      </c>
      <c r="J448" s="149" t="e">
        <f t="shared" si="35"/>
        <v>#DIV/0!</v>
      </c>
      <c r="L448" s="119" t="e">
        <f t="shared" si="36"/>
        <v>#DIV/0!</v>
      </c>
    </row>
    <row r="449" spans="1:12" ht="32.25" customHeight="1" hidden="1">
      <c r="A449" s="44" t="s">
        <v>174</v>
      </c>
      <c r="B449" s="24" t="s">
        <v>317</v>
      </c>
      <c r="C449" s="24" t="s">
        <v>112</v>
      </c>
      <c r="D449" s="54" t="s">
        <v>502</v>
      </c>
      <c r="E449" s="24" t="s">
        <v>175</v>
      </c>
      <c r="F449" s="216">
        <f>G449+H449</f>
        <v>0</v>
      </c>
      <c r="G449" s="209">
        <f>G450</f>
        <v>0</v>
      </c>
      <c r="H449" s="209">
        <f>H450</f>
        <v>0</v>
      </c>
      <c r="I449" s="217">
        <v>0</v>
      </c>
      <c r="J449" s="148" t="e">
        <f t="shared" si="35"/>
        <v>#DIV/0!</v>
      </c>
      <c r="L449" s="119" t="e">
        <f t="shared" si="36"/>
        <v>#DIV/0!</v>
      </c>
    </row>
    <row r="450" spans="1:12" ht="49.5" customHeight="1" hidden="1">
      <c r="A450" s="44" t="s">
        <v>176</v>
      </c>
      <c r="B450" s="24" t="s">
        <v>317</v>
      </c>
      <c r="C450" s="24" t="s">
        <v>112</v>
      </c>
      <c r="D450" s="54" t="s">
        <v>502</v>
      </c>
      <c r="E450" s="24" t="s">
        <v>240</v>
      </c>
      <c r="F450" s="216">
        <f>G450+H450</f>
        <v>0</v>
      </c>
      <c r="G450" s="209"/>
      <c r="H450" s="209"/>
      <c r="I450" s="217">
        <v>0</v>
      </c>
      <c r="J450" s="148" t="e">
        <f t="shared" si="35"/>
        <v>#DIV/0!</v>
      </c>
      <c r="K450" s="83"/>
      <c r="L450" s="119" t="e">
        <f t="shared" si="36"/>
        <v>#DIV/0!</v>
      </c>
    </row>
    <row r="451" spans="1:12" ht="49.5" customHeight="1" hidden="1">
      <c r="A451" s="51" t="s">
        <v>493</v>
      </c>
      <c r="B451" s="45" t="s">
        <v>317</v>
      </c>
      <c r="C451" s="45" t="s">
        <v>112</v>
      </c>
      <c r="D451" s="80" t="s">
        <v>506</v>
      </c>
      <c r="E451" s="45" t="s">
        <v>347</v>
      </c>
      <c r="F451" s="218">
        <f>G451</f>
        <v>0</v>
      </c>
      <c r="G451" s="219">
        <f>G452</f>
        <v>0</v>
      </c>
      <c r="H451" s="219"/>
      <c r="I451" s="220">
        <v>0</v>
      </c>
      <c r="J451" s="149" t="e">
        <f t="shared" si="35"/>
        <v>#DIV/0!</v>
      </c>
      <c r="K451" s="159"/>
      <c r="L451" s="119" t="e">
        <f t="shared" si="36"/>
        <v>#DIV/0!</v>
      </c>
    </row>
    <row r="452" spans="1:12" ht="80.25" customHeight="1" hidden="1">
      <c r="A452" s="44" t="s">
        <v>174</v>
      </c>
      <c r="B452" s="24" t="s">
        <v>317</v>
      </c>
      <c r="C452" s="24" t="s">
        <v>112</v>
      </c>
      <c r="D452" s="54" t="s">
        <v>506</v>
      </c>
      <c r="E452" s="24" t="s">
        <v>175</v>
      </c>
      <c r="F452" s="216">
        <f>G452</f>
        <v>0</v>
      </c>
      <c r="G452" s="209">
        <f>G453</f>
        <v>0</v>
      </c>
      <c r="H452" s="209"/>
      <c r="I452" s="217">
        <v>0</v>
      </c>
      <c r="J452" s="148" t="e">
        <f t="shared" si="35"/>
        <v>#DIV/0!</v>
      </c>
      <c r="K452" s="83"/>
      <c r="L452" s="119" t="e">
        <f t="shared" si="36"/>
        <v>#DIV/0!</v>
      </c>
    </row>
    <row r="453" spans="1:12" ht="39.75" customHeight="1" hidden="1">
      <c r="A453" s="44" t="s">
        <v>176</v>
      </c>
      <c r="B453" s="24" t="s">
        <v>317</v>
      </c>
      <c r="C453" s="24" t="s">
        <v>112</v>
      </c>
      <c r="D453" s="54" t="s">
        <v>506</v>
      </c>
      <c r="E453" s="24" t="s">
        <v>240</v>
      </c>
      <c r="F453" s="216">
        <f>G453</f>
        <v>0</v>
      </c>
      <c r="G453" s="209"/>
      <c r="H453" s="209"/>
      <c r="I453" s="217">
        <v>0</v>
      </c>
      <c r="J453" s="148" t="e">
        <f t="shared" si="35"/>
        <v>#DIV/0!</v>
      </c>
      <c r="K453" s="36"/>
      <c r="L453" s="119" t="e">
        <f t="shared" si="36"/>
        <v>#DIV/0!</v>
      </c>
    </row>
    <row r="454" spans="1:12" ht="64.5" customHeight="1" hidden="1">
      <c r="A454" s="52" t="s">
        <v>459</v>
      </c>
      <c r="B454" s="24" t="s">
        <v>317</v>
      </c>
      <c r="C454" s="24" t="s">
        <v>112</v>
      </c>
      <c r="D454" s="54" t="s">
        <v>74</v>
      </c>
      <c r="E454" s="24" t="s">
        <v>347</v>
      </c>
      <c r="F454" s="216">
        <f>G454+H454</f>
        <v>2783.7999999999997</v>
      </c>
      <c r="G454" s="209">
        <f>G455</f>
        <v>2783.7999999999997</v>
      </c>
      <c r="H454" s="209"/>
      <c r="I454" s="217">
        <f>I455</f>
        <v>2783.3402</v>
      </c>
      <c r="J454" s="148">
        <f t="shared" si="35"/>
        <v>99.98348300883686</v>
      </c>
      <c r="L454" s="119">
        <f t="shared" si="36"/>
        <v>99.98348300883686</v>
      </c>
    </row>
    <row r="455" spans="1:12" ht="39.75" customHeight="1">
      <c r="A455" s="44" t="s">
        <v>174</v>
      </c>
      <c r="B455" s="24" t="s">
        <v>317</v>
      </c>
      <c r="C455" s="24" t="s">
        <v>112</v>
      </c>
      <c r="D455" s="54" t="s">
        <v>74</v>
      </c>
      <c r="E455" s="24" t="s">
        <v>175</v>
      </c>
      <c r="F455" s="216">
        <f>G455+H455</f>
        <v>2783.7999999999997</v>
      </c>
      <c r="G455" s="209">
        <f>G456</f>
        <v>2783.7999999999997</v>
      </c>
      <c r="H455" s="209"/>
      <c r="I455" s="217">
        <f>I456</f>
        <v>2783.3402</v>
      </c>
      <c r="J455" s="148">
        <f t="shared" si="35"/>
        <v>99.98348300883686</v>
      </c>
      <c r="L455" s="119">
        <f t="shared" si="36"/>
        <v>99.98348300883686</v>
      </c>
    </row>
    <row r="456" spans="1:12" ht="23.25" customHeight="1">
      <c r="A456" s="44" t="s">
        <v>176</v>
      </c>
      <c r="B456" s="24" t="s">
        <v>317</v>
      </c>
      <c r="C456" s="24" t="s">
        <v>112</v>
      </c>
      <c r="D456" s="54" t="s">
        <v>74</v>
      </c>
      <c r="E456" s="24" t="s">
        <v>240</v>
      </c>
      <c r="F456" s="216">
        <f>G456+H456</f>
        <v>2783.7999999999997</v>
      </c>
      <c r="G456" s="209">
        <f>2368.7+347.1+68</f>
        <v>2783.7999999999997</v>
      </c>
      <c r="H456" s="209"/>
      <c r="I456" s="217">
        <v>2783.3402</v>
      </c>
      <c r="J456" s="148">
        <f t="shared" si="35"/>
        <v>99.98348300883686</v>
      </c>
      <c r="L456" s="119">
        <f t="shared" si="36"/>
        <v>99.98348300883686</v>
      </c>
    </row>
    <row r="457" spans="1:12" ht="59.25" customHeight="1">
      <c r="A457" s="100" t="s">
        <v>496</v>
      </c>
      <c r="B457" s="31" t="s">
        <v>317</v>
      </c>
      <c r="C457" s="31" t="s">
        <v>112</v>
      </c>
      <c r="D457" s="92" t="s">
        <v>503</v>
      </c>
      <c r="E457" s="31" t="s">
        <v>347</v>
      </c>
      <c r="F457" s="214">
        <f>F458+F461</f>
        <v>150.755</v>
      </c>
      <c r="G457" s="214">
        <f>G458+G461</f>
        <v>1.50755</v>
      </c>
      <c r="H457" s="214">
        <f>H458+H461</f>
        <v>149.24745</v>
      </c>
      <c r="I457" s="214">
        <f>I458+I461</f>
        <v>150.755</v>
      </c>
      <c r="J457" s="150">
        <f t="shared" si="35"/>
        <v>100</v>
      </c>
      <c r="K457" s="49"/>
      <c r="L457" s="121">
        <f t="shared" si="36"/>
        <v>100</v>
      </c>
    </row>
    <row r="458" spans="1:12" ht="38.25" customHeight="1" hidden="1">
      <c r="A458" s="51" t="s">
        <v>494</v>
      </c>
      <c r="B458" s="45" t="s">
        <v>317</v>
      </c>
      <c r="C458" s="45" t="s">
        <v>112</v>
      </c>
      <c r="D458" s="80" t="s">
        <v>504</v>
      </c>
      <c r="E458" s="45" t="s">
        <v>347</v>
      </c>
      <c r="F458" s="218">
        <f>H458</f>
        <v>149.24745</v>
      </c>
      <c r="G458" s="219"/>
      <c r="H458" s="219">
        <f>H459</f>
        <v>149.24745</v>
      </c>
      <c r="I458" s="220">
        <f>I459</f>
        <v>149.24745</v>
      </c>
      <c r="J458" s="149">
        <f t="shared" si="35"/>
        <v>100</v>
      </c>
      <c r="L458" s="119">
        <f t="shared" si="36"/>
        <v>100</v>
      </c>
    </row>
    <row r="459" spans="1:12" ht="65.25" customHeight="1" hidden="1">
      <c r="A459" s="44" t="s">
        <v>174</v>
      </c>
      <c r="B459" s="24" t="s">
        <v>317</v>
      </c>
      <c r="C459" s="24" t="s">
        <v>112</v>
      </c>
      <c r="D459" s="54" t="s">
        <v>504</v>
      </c>
      <c r="E459" s="24" t="s">
        <v>175</v>
      </c>
      <c r="F459" s="216">
        <f>H459</f>
        <v>149.24745</v>
      </c>
      <c r="G459" s="209"/>
      <c r="H459" s="209">
        <f>H460</f>
        <v>149.24745</v>
      </c>
      <c r="I459" s="217">
        <f>I460</f>
        <v>149.24745</v>
      </c>
      <c r="J459" s="148">
        <f t="shared" si="35"/>
        <v>100</v>
      </c>
      <c r="L459" s="119">
        <f t="shared" si="36"/>
        <v>100</v>
      </c>
    </row>
    <row r="460" spans="1:12" ht="24" customHeight="1">
      <c r="A460" s="44" t="s">
        <v>176</v>
      </c>
      <c r="B460" s="24" t="s">
        <v>317</v>
      </c>
      <c r="C460" s="24" t="s">
        <v>112</v>
      </c>
      <c r="D460" s="54" t="s">
        <v>504</v>
      </c>
      <c r="E460" s="24" t="s">
        <v>240</v>
      </c>
      <c r="F460" s="216">
        <f>H460</f>
        <v>149.24745</v>
      </c>
      <c r="G460" s="209"/>
      <c r="H460" s="209">
        <v>149.24745</v>
      </c>
      <c r="I460" s="217">
        <v>149.24745</v>
      </c>
      <c r="J460" s="148">
        <f t="shared" si="35"/>
        <v>100</v>
      </c>
      <c r="L460" s="119">
        <f t="shared" si="36"/>
        <v>100</v>
      </c>
    </row>
    <row r="461" spans="1:12" ht="102.75" customHeight="1">
      <c r="A461" s="51" t="s">
        <v>495</v>
      </c>
      <c r="B461" s="45" t="s">
        <v>317</v>
      </c>
      <c r="C461" s="45" t="s">
        <v>112</v>
      </c>
      <c r="D461" s="80" t="s">
        <v>505</v>
      </c>
      <c r="E461" s="45" t="s">
        <v>347</v>
      </c>
      <c r="F461" s="218">
        <f>G461</f>
        <v>1.50755</v>
      </c>
      <c r="G461" s="219">
        <f>G462</f>
        <v>1.50755</v>
      </c>
      <c r="H461" s="219"/>
      <c r="I461" s="220">
        <f>I462</f>
        <v>1.50755</v>
      </c>
      <c r="J461" s="149">
        <f t="shared" si="35"/>
        <v>100</v>
      </c>
      <c r="L461" s="119">
        <f t="shared" si="36"/>
        <v>100</v>
      </c>
    </row>
    <row r="462" spans="1:12" s="49" customFormat="1" ht="37.5" customHeight="1">
      <c r="A462" s="44" t="s">
        <v>174</v>
      </c>
      <c r="B462" s="24" t="s">
        <v>317</v>
      </c>
      <c r="C462" s="24" t="s">
        <v>112</v>
      </c>
      <c r="D462" s="54" t="s">
        <v>505</v>
      </c>
      <c r="E462" s="24" t="s">
        <v>175</v>
      </c>
      <c r="F462" s="216">
        <f>G462</f>
        <v>1.50755</v>
      </c>
      <c r="G462" s="209">
        <f>G463</f>
        <v>1.50755</v>
      </c>
      <c r="H462" s="209"/>
      <c r="I462" s="217">
        <f>I463</f>
        <v>1.50755</v>
      </c>
      <c r="J462" s="148">
        <f t="shared" si="35"/>
        <v>100</v>
      </c>
      <c r="K462"/>
      <c r="L462" s="119">
        <f t="shared" si="36"/>
        <v>100</v>
      </c>
    </row>
    <row r="463" spans="1:12" ht="30" customHeight="1">
      <c r="A463" s="44" t="s">
        <v>176</v>
      </c>
      <c r="B463" s="24" t="s">
        <v>317</v>
      </c>
      <c r="C463" s="24" t="s">
        <v>112</v>
      </c>
      <c r="D463" s="54" t="s">
        <v>505</v>
      </c>
      <c r="E463" s="24" t="s">
        <v>240</v>
      </c>
      <c r="F463" s="216">
        <f>G463</f>
        <v>1.50755</v>
      </c>
      <c r="G463" s="209">
        <v>1.50755</v>
      </c>
      <c r="H463" s="209"/>
      <c r="I463" s="217">
        <v>1.50755</v>
      </c>
      <c r="J463" s="148">
        <f t="shared" si="35"/>
        <v>100</v>
      </c>
      <c r="L463" s="119">
        <f t="shared" si="36"/>
        <v>100</v>
      </c>
    </row>
    <row r="464" spans="1:12" ht="93.75" customHeight="1">
      <c r="A464" s="52" t="s">
        <v>460</v>
      </c>
      <c r="B464" s="24" t="s">
        <v>317</v>
      </c>
      <c r="C464" s="24" t="s">
        <v>112</v>
      </c>
      <c r="D464" s="54" t="s">
        <v>75</v>
      </c>
      <c r="E464" s="24" t="s">
        <v>347</v>
      </c>
      <c r="F464" s="216">
        <f>G464+H464</f>
        <v>1494</v>
      </c>
      <c r="G464" s="209">
        <f>G465</f>
        <v>1494</v>
      </c>
      <c r="H464" s="209"/>
      <c r="I464" s="217">
        <f>I465</f>
        <v>1493.9999</v>
      </c>
      <c r="J464" s="148">
        <f aca="true" t="shared" si="39" ref="J464:J527">I464/F464*100</f>
        <v>99.99999330655957</v>
      </c>
      <c r="L464" s="119">
        <f t="shared" si="36"/>
        <v>99.99999330655957</v>
      </c>
    </row>
    <row r="465" spans="1:12" ht="47.25" customHeight="1">
      <c r="A465" s="44" t="s">
        <v>174</v>
      </c>
      <c r="B465" s="24" t="s">
        <v>317</v>
      </c>
      <c r="C465" s="24" t="s">
        <v>112</v>
      </c>
      <c r="D465" s="54" t="s">
        <v>75</v>
      </c>
      <c r="E465" s="24" t="s">
        <v>175</v>
      </c>
      <c r="F465" s="216">
        <f>G465+H465</f>
        <v>1494</v>
      </c>
      <c r="G465" s="209">
        <f>G466</f>
        <v>1494</v>
      </c>
      <c r="H465" s="209"/>
      <c r="I465" s="217">
        <f>I466</f>
        <v>1493.9999</v>
      </c>
      <c r="J465" s="148">
        <f t="shared" si="39"/>
        <v>99.99999330655957</v>
      </c>
      <c r="L465" s="119">
        <f t="shared" si="36"/>
        <v>99.99999330655957</v>
      </c>
    </row>
    <row r="466" spans="1:12" ht="17.25" customHeight="1">
      <c r="A466" s="44" t="s">
        <v>176</v>
      </c>
      <c r="B466" s="24" t="s">
        <v>317</v>
      </c>
      <c r="C466" s="24" t="s">
        <v>112</v>
      </c>
      <c r="D466" s="54" t="s">
        <v>75</v>
      </c>
      <c r="E466" s="24" t="s">
        <v>240</v>
      </c>
      <c r="F466" s="216">
        <f>G466+H466</f>
        <v>1494</v>
      </c>
      <c r="G466" s="209">
        <f>1330.4+163.6</f>
        <v>1494</v>
      </c>
      <c r="H466" s="209"/>
      <c r="I466" s="217">
        <v>1493.9999</v>
      </c>
      <c r="J466" s="148">
        <f t="shared" si="39"/>
        <v>99.99999330655957</v>
      </c>
      <c r="L466" s="119">
        <f t="shared" si="36"/>
        <v>99.99999330655957</v>
      </c>
    </row>
    <row r="467" spans="1:12" s="36" customFormat="1" ht="22.5" customHeight="1">
      <c r="A467" s="44" t="s">
        <v>5</v>
      </c>
      <c r="B467" s="24" t="s">
        <v>317</v>
      </c>
      <c r="C467" s="24" t="s">
        <v>123</v>
      </c>
      <c r="D467" s="54" t="s">
        <v>262</v>
      </c>
      <c r="E467" s="24" t="s">
        <v>347</v>
      </c>
      <c r="F467" s="216">
        <f>F469+F472+F475+F480</f>
        <v>1215.1</v>
      </c>
      <c r="G467" s="216">
        <f>G469+G472+G475+G480</f>
        <v>1215.1</v>
      </c>
      <c r="H467" s="216">
        <f>H469+H472+H475+H480</f>
        <v>0</v>
      </c>
      <c r="I467" s="216">
        <f>I469+I472+I475+I480</f>
        <v>1214.63377</v>
      </c>
      <c r="J467" s="148">
        <f t="shared" si="39"/>
        <v>99.9616303184923</v>
      </c>
      <c r="K467"/>
      <c r="L467" s="119">
        <f t="shared" si="36"/>
        <v>99.9616303184923</v>
      </c>
    </row>
    <row r="468" spans="1:12" ht="56.25" customHeight="1">
      <c r="A468" s="51" t="s">
        <v>412</v>
      </c>
      <c r="B468" s="45" t="s">
        <v>317</v>
      </c>
      <c r="C468" s="45" t="s">
        <v>123</v>
      </c>
      <c r="D468" s="80" t="s">
        <v>70</v>
      </c>
      <c r="E468" s="45" t="s">
        <v>347</v>
      </c>
      <c r="F468" s="218">
        <f>G468</f>
        <v>1129.1</v>
      </c>
      <c r="G468" s="250">
        <f>G469</f>
        <v>1129.1</v>
      </c>
      <c r="H468" s="251"/>
      <c r="I468" s="220">
        <f>I469</f>
        <v>1128.63377</v>
      </c>
      <c r="J468" s="149">
        <f t="shared" si="39"/>
        <v>99.95870782038791</v>
      </c>
      <c r="L468" s="119">
        <f t="shared" si="36"/>
        <v>99.95870782038791</v>
      </c>
    </row>
    <row r="469" spans="1:12" ht="45" customHeight="1">
      <c r="A469" s="52" t="s">
        <v>461</v>
      </c>
      <c r="B469" s="24" t="s">
        <v>317</v>
      </c>
      <c r="C469" s="24" t="s">
        <v>123</v>
      </c>
      <c r="D469" s="54" t="s">
        <v>76</v>
      </c>
      <c r="E469" s="24" t="s">
        <v>347</v>
      </c>
      <c r="F469" s="216">
        <f aca="true" t="shared" si="40" ref="F469:F482">G469+H469</f>
        <v>1129.1</v>
      </c>
      <c r="G469" s="209">
        <f>G470</f>
        <v>1129.1</v>
      </c>
      <c r="H469" s="209"/>
      <c r="I469" s="217">
        <f>I470</f>
        <v>1128.63377</v>
      </c>
      <c r="J469" s="148">
        <f t="shared" si="39"/>
        <v>99.95870782038791</v>
      </c>
      <c r="K469" s="49"/>
      <c r="L469" s="121">
        <f t="shared" si="36"/>
        <v>99.95870782038791</v>
      </c>
    </row>
    <row r="470" spans="1:12" ht="57.75" customHeight="1">
      <c r="A470" s="44" t="s">
        <v>174</v>
      </c>
      <c r="B470" s="24" t="s">
        <v>317</v>
      </c>
      <c r="C470" s="24" t="s">
        <v>123</v>
      </c>
      <c r="D470" s="54" t="s">
        <v>76</v>
      </c>
      <c r="E470" s="24" t="s">
        <v>175</v>
      </c>
      <c r="F470" s="216">
        <f t="shared" si="40"/>
        <v>1129.1</v>
      </c>
      <c r="G470" s="209">
        <f>G471</f>
        <v>1129.1</v>
      </c>
      <c r="H470" s="209"/>
      <c r="I470" s="217">
        <f>I471</f>
        <v>1128.63377</v>
      </c>
      <c r="J470" s="148">
        <f t="shared" si="39"/>
        <v>99.95870782038791</v>
      </c>
      <c r="K470" s="49"/>
      <c r="L470" s="119">
        <f aca="true" t="shared" si="41" ref="L470:L491">I470/F470*100</f>
        <v>99.95870782038791</v>
      </c>
    </row>
    <row r="471" spans="1:12" ht="33" customHeight="1">
      <c r="A471" s="44" t="s">
        <v>176</v>
      </c>
      <c r="B471" s="24" t="s">
        <v>317</v>
      </c>
      <c r="C471" s="24" t="s">
        <v>123</v>
      </c>
      <c r="D471" s="54" t="s">
        <v>76</v>
      </c>
      <c r="E471" s="24" t="s">
        <v>240</v>
      </c>
      <c r="F471" s="216">
        <f t="shared" si="40"/>
        <v>1129.1</v>
      </c>
      <c r="G471" s="209">
        <f>958.5+135.1+35.5</f>
        <v>1129.1</v>
      </c>
      <c r="H471" s="209"/>
      <c r="I471" s="217">
        <v>1128.63377</v>
      </c>
      <c r="J471" s="148">
        <f t="shared" si="39"/>
        <v>99.95870782038791</v>
      </c>
      <c r="L471" s="119">
        <f t="shared" si="41"/>
        <v>99.95870782038791</v>
      </c>
    </row>
    <row r="472" spans="1:12" ht="60" customHeight="1">
      <c r="A472" s="51" t="s">
        <v>407</v>
      </c>
      <c r="B472" s="45" t="s">
        <v>317</v>
      </c>
      <c r="C472" s="45" t="s">
        <v>123</v>
      </c>
      <c r="D472" s="80" t="s">
        <v>25</v>
      </c>
      <c r="E472" s="45" t="s">
        <v>347</v>
      </c>
      <c r="F472" s="218">
        <f t="shared" si="40"/>
        <v>39</v>
      </c>
      <c r="G472" s="219">
        <f>G473</f>
        <v>39</v>
      </c>
      <c r="H472" s="219">
        <f>H473</f>
        <v>0</v>
      </c>
      <c r="I472" s="220">
        <v>39</v>
      </c>
      <c r="J472" s="149">
        <f t="shared" si="39"/>
        <v>100</v>
      </c>
      <c r="L472" s="119">
        <f t="shared" si="41"/>
        <v>100</v>
      </c>
    </row>
    <row r="473" spans="1:12" ht="28.5" customHeight="1">
      <c r="A473" s="52" t="s">
        <v>77</v>
      </c>
      <c r="B473" s="24" t="s">
        <v>317</v>
      </c>
      <c r="C473" s="24" t="s">
        <v>123</v>
      </c>
      <c r="D473" s="54" t="s">
        <v>26</v>
      </c>
      <c r="E473" s="24" t="s">
        <v>347</v>
      </c>
      <c r="F473" s="216">
        <f t="shared" si="40"/>
        <v>39</v>
      </c>
      <c r="G473" s="209">
        <f>G474</f>
        <v>39</v>
      </c>
      <c r="H473" s="209">
        <f>H474</f>
        <v>0</v>
      </c>
      <c r="I473" s="217">
        <v>39</v>
      </c>
      <c r="J473" s="148">
        <f t="shared" si="39"/>
        <v>100</v>
      </c>
      <c r="L473" s="119">
        <f t="shared" si="41"/>
        <v>100</v>
      </c>
    </row>
    <row r="474" spans="1:12" s="36" customFormat="1" ht="24" customHeight="1">
      <c r="A474" s="44" t="s">
        <v>176</v>
      </c>
      <c r="B474" s="24" t="s">
        <v>317</v>
      </c>
      <c r="C474" s="24" t="s">
        <v>123</v>
      </c>
      <c r="D474" s="54" t="s">
        <v>78</v>
      </c>
      <c r="E474" s="24" t="s">
        <v>240</v>
      </c>
      <c r="F474" s="216">
        <f t="shared" si="40"/>
        <v>39</v>
      </c>
      <c r="G474" s="209">
        <v>39</v>
      </c>
      <c r="H474" s="209"/>
      <c r="I474" s="217">
        <v>39</v>
      </c>
      <c r="J474" s="148">
        <f t="shared" si="39"/>
        <v>100</v>
      </c>
      <c r="K474"/>
      <c r="L474" s="119">
        <f t="shared" si="41"/>
        <v>100</v>
      </c>
    </row>
    <row r="475" spans="1:12" s="36" customFormat="1" ht="63" customHeight="1">
      <c r="A475" s="51" t="s">
        <v>409</v>
      </c>
      <c r="B475" s="45" t="s">
        <v>317</v>
      </c>
      <c r="C475" s="45" t="s">
        <v>123</v>
      </c>
      <c r="D475" s="80" t="s">
        <v>65</v>
      </c>
      <c r="E475" s="45" t="s">
        <v>347</v>
      </c>
      <c r="F475" s="218">
        <f t="shared" si="40"/>
        <v>2</v>
      </c>
      <c r="G475" s="219">
        <f>G476</f>
        <v>2</v>
      </c>
      <c r="H475" s="219">
        <f>H476</f>
        <v>0</v>
      </c>
      <c r="I475" s="220">
        <v>2</v>
      </c>
      <c r="J475" s="149">
        <f t="shared" si="39"/>
        <v>100</v>
      </c>
      <c r="L475" s="121">
        <f t="shared" si="41"/>
        <v>100</v>
      </c>
    </row>
    <row r="476" spans="1:12" s="4" customFormat="1" ht="15" customHeight="1">
      <c r="A476" s="44" t="s">
        <v>279</v>
      </c>
      <c r="B476" s="24" t="s">
        <v>317</v>
      </c>
      <c r="C476" s="24" t="s">
        <v>123</v>
      </c>
      <c r="D476" s="54" t="s">
        <v>79</v>
      </c>
      <c r="E476" s="24" t="s">
        <v>240</v>
      </c>
      <c r="F476" s="216">
        <f t="shared" si="40"/>
        <v>2</v>
      </c>
      <c r="G476" s="209">
        <v>2</v>
      </c>
      <c r="H476" s="226"/>
      <c r="I476" s="217">
        <v>2</v>
      </c>
      <c r="J476" s="148">
        <f t="shared" si="39"/>
        <v>100</v>
      </c>
      <c r="K476"/>
      <c r="L476" s="119">
        <f t="shared" si="41"/>
        <v>100</v>
      </c>
    </row>
    <row r="477" spans="1:12" ht="50.25" customHeight="1" hidden="1">
      <c r="A477" s="62" t="s">
        <v>372</v>
      </c>
      <c r="B477" s="45" t="s">
        <v>317</v>
      </c>
      <c r="C477" s="45" t="s">
        <v>123</v>
      </c>
      <c r="D477" s="80" t="s">
        <v>35</v>
      </c>
      <c r="E477" s="45" t="s">
        <v>347</v>
      </c>
      <c r="F477" s="219">
        <f t="shared" si="40"/>
        <v>0</v>
      </c>
      <c r="G477" s="219">
        <f>G478</f>
        <v>0</v>
      </c>
      <c r="H477" s="219">
        <f>H479</f>
        <v>0</v>
      </c>
      <c r="I477" s="217">
        <v>0</v>
      </c>
      <c r="J477" s="148" t="e">
        <f t="shared" si="39"/>
        <v>#DIV/0!</v>
      </c>
      <c r="K477" s="49"/>
      <c r="L477" s="121" t="e">
        <f t="shared" si="41"/>
        <v>#DIV/0!</v>
      </c>
    </row>
    <row r="478" spans="1:12" ht="18.75" customHeight="1" hidden="1">
      <c r="A478" s="44" t="s">
        <v>279</v>
      </c>
      <c r="B478" s="24" t="s">
        <v>317</v>
      </c>
      <c r="C478" s="24" t="s">
        <v>123</v>
      </c>
      <c r="D478" s="54" t="s">
        <v>428</v>
      </c>
      <c r="E478" s="24" t="s">
        <v>240</v>
      </c>
      <c r="F478" s="219">
        <f t="shared" si="40"/>
        <v>0</v>
      </c>
      <c r="G478" s="209"/>
      <c r="H478" s="248"/>
      <c r="I478" s="217">
        <v>0</v>
      </c>
      <c r="J478" s="148" t="e">
        <f t="shared" si="39"/>
        <v>#DIV/0!</v>
      </c>
      <c r="L478" s="119" t="e">
        <f t="shared" si="41"/>
        <v>#DIV/0!</v>
      </c>
    </row>
    <row r="479" spans="1:12" ht="48.75" customHeight="1" hidden="1">
      <c r="A479" s="44" t="s">
        <v>434</v>
      </c>
      <c r="B479" s="24" t="s">
        <v>317</v>
      </c>
      <c r="C479" s="24" t="s">
        <v>123</v>
      </c>
      <c r="D479" s="54" t="s">
        <v>428</v>
      </c>
      <c r="E479" s="24" t="s">
        <v>240</v>
      </c>
      <c r="F479" s="216">
        <f t="shared" si="40"/>
        <v>0</v>
      </c>
      <c r="G479" s="209">
        <v>0</v>
      </c>
      <c r="H479" s="252"/>
      <c r="I479" s="217">
        <v>0</v>
      </c>
      <c r="J479" s="148" t="e">
        <f t="shared" si="39"/>
        <v>#DIV/0!</v>
      </c>
      <c r="L479" s="119" t="e">
        <f t="shared" si="41"/>
        <v>#DIV/0!</v>
      </c>
    </row>
    <row r="480" spans="1:12" ht="72" customHeight="1">
      <c r="A480" s="51" t="s">
        <v>416</v>
      </c>
      <c r="B480" s="45" t="s">
        <v>317</v>
      </c>
      <c r="C480" s="45" t="s">
        <v>123</v>
      </c>
      <c r="D480" s="80" t="s">
        <v>32</v>
      </c>
      <c r="E480" s="45" t="s">
        <v>347</v>
      </c>
      <c r="F480" s="218">
        <f t="shared" si="40"/>
        <v>45</v>
      </c>
      <c r="G480" s="219">
        <f>G481</f>
        <v>45</v>
      </c>
      <c r="H480" s="245"/>
      <c r="I480" s="220">
        <v>45</v>
      </c>
      <c r="J480" s="149">
        <f t="shared" si="39"/>
        <v>100</v>
      </c>
      <c r="L480" s="119">
        <f t="shared" si="41"/>
        <v>100</v>
      </c>
    </row>
    <row r="481" spans="1:12" ht="45.75" customHeight="1">
      <c r="A481" s="44" t="s">
        <v>174</v>
      </c>
      <c r="B481" s="24" t="s">
        <v>317</v>
      </c>
      <c r="C481" s="24" t="s">
        <v>123</v>
      </c>
      <c r="D481" s="54" t="s">
        <v>641</v>
      </c>
      <c r="E481" s="24" t="s">
        <v>175</v>
      </c>
      <c r="F481" s="216">
        <f t="shared" si="40"/>
        <v>45</v>
      </c>
      <c r="G481" s="209">
        <f>G482</f>
        <v>45</v>
      </c>
      <c r="H481" s="252"/>
      <c r="I481" s="217">
        <v>45</v>
      </c>
      <c r="J481" s="148">
        <f t="shared" si="39"/>
        <v>100</v>
      </c>
      <c r="K481" s="161"/>
      <c r="L481" s="121">
        <f t="shared" si="41"/>
        <v>100</v>
      </c>
    </row>
    <row r="482" spans="1:12" ht="34.5" customHeight="1">
      <c r="A482" s="44" t="s">
        <v>176</v>
      </c>
      <c r="B482" s="24" t="s">
        <v>317</v>
      </c>
      <c r="C482" s="24" t="s">
        <v>123</v>
      </c>
      <c r="D482" s="54" t="s">
        <v>641</v>
      </c>
      <c r="E482" s="24" t="s">
        <v>240</v>
      </c>
      <c r="F482" s="216">
        <f t="shared" si="40"/>
        <v>45</v>
      </c>
      <c r="G482" s="209">
        <v>45</v>
      </c>
      <c r="H482" s="252"/>
      <c r="I482" s="217">
        <v>45</v>
      </c>
      <c r="J482" s="148">
        <f t="shared" si="39"/>
        <v>100</v>
      </c>
      <c r="K482" s="36"/>
      <c r="L482" s="119">
        <f t="shared" si="41"/>
        <v>100</v>
      </c>
    </row>
    <row r="483" spans="1:12" ht="48" customHeight="1" hidden="1">
      <c r="A483" s="51" t="s">
        <v>412</v>
      </c>
      <c r="B483" s="45" t="s">
        <v>317</v>
      </c>
      <c r="C483" s="45" t="s">
        <v>123</v>
      </c>
      <c r="D483" s="80" t="s">
        <v>70</v>
      </c>
      <c r="E483" s="45" t="s">
        <v>347</v>
      </c>
      <c r="F483" s="218">
        <f aca="true" t="shared" si="42" ref="F483:F488">G483</f>
        <v>0</v>
      </c>
      <c r="G483" s="219">
        <f>G484</f>
        <v>0</v>
      </c>
      <c r="H483" s="248"/>
      <c r="I483" s="217">
        <v>0</v>
      </c>
      <c r="J483" s="148" t="e">
        <f t="shared" si="39"/>
        <v>#DIV/0!</v>
      </c>
      <c r="K483" s="36"/>
      <c r="L483" s="119" t="e">
        <f t="shared" si="41"/>
        <v>#DIV/0!</v>
      </c>
    </row>
    <row r="484" spans="1:12" ht="17.25" customHeight="1" hidden="1">
      <c r="A484" s="52" t="s">
        <v>462</v>
      </c>
      <c r="B484" s="24" t="s">
        <v>317</v>
      </c>
      <c r="C484" s="24" t="s">
        <v>123</v>
      </c>
      <c r="D484" s="54" t="s">
        <v>429</v>
      </c>
      <c r="E484" s="24" t="s">
        <v>347</v>
      </c>
      <c r="F484" s="216">
        <f t="shared" si="42"/>
        <v>0</v>
      </c>
      <c r="G484" s="209">
        <f>G485+G487</f>
        <v>0</v>
      </c>
      <c r="H484" s="248"/>
      <c r="I484" s="217">
        <v>0</v>
      </c>
      <c r="J484" s="148" t="e">
        <f t="shared" si="39"/>
        <v>#DIV/0!</v>
      </c>
      <c r="K484" s="4"/>
      <c r="L484" s="119" t="e">
        <f t="shared" si="41"/>
        <v>#DIV/0!</v>
      </c>
    </row>
    <row r="485" spans="1:12" s="4" customFormat="1" ht="33" customHeight="1" hidden="1">
      <c r="A485" s="44" t="s">
        <v>148</v>
      </c>
      <c r="B485" s="24" t="s">
        <v>317</v>
      </c>
      <c r="C485" s="24" t="s">
        <v>123</v>
      </c>
      <c r="D485" s="54" t="s">
        <v>429</v>
      </c>
      <c r="E485" s="24" t="s">
        <v>117</v>
      </c>
      <c r="F485" s="216">
        <f t="shared" si="42"/>
        <v>0</v>
      </c>
      <c r="G485" s="209">
        <f>G486</f>
        <v>0</v>
      </c>
      <c r="H485" s="248"/>
      <c r="I485" s="217">
        <v>0</v>
      </c>
      <c r="J485" s="148" t="e">
        <f t="shared" si="39"/>
        <v>#DIV/0!</v>
      </c>
      <c r="K485"/>
      <c r="L485" s="119" t="e">
        <f t="shared" si="41"/>
        <v>#DIV/0!</v>
      </c>
    </row>
    <row r="486" spans="1:12" ht="33" customHeight="1" hidden="1">
      <c r="A486" s="44" t="s">
        <v>164</v>
      </c>
      <c r="B486" s="24" t="s">
        <v>317</v>
      </c>
      <c r="C486" s="24" t="s">
        <v>123</v>
      </c>
      <c r="D486" s="54" t="s">
        <v>429</v>
      </c>
      <c r="E486" s="24" t="s">
        <v>124</v>
      </c>
      <c r="F486" s="216">
        <f t="shared" si="42"/>
        <v>0</v>
      </c>
      <c r="G486" s="209">
        <v>0</v>
      </c>
      <c r="H486" s="248"/>
      <c r="I486" s="217">
        <v>0</v>
      </c>
      <c r="J486" s="148" t="e">
        <f t="shared" si="39"/>
        <v>#DIV/0!</v>
      </c>
      <c r="L486" s="119" t="e">
        <f t="shared" si="41"/>
        <v>#DIV/0!</v>
      </c>
    </row>
    <row r="487" spans="1:12" ht="18.75" customHeight="1" hidden="1">
      <c r="A487" s="44" t="s">
        <v>151</v>
      </c>
      <c r="B487" s="24" t="s">
        <v>317</v>
      </c>
      <c r="C487" s="24" t="s">
        <v>123</v>
      </c>
      <c r="D487" s="54" t="s">
        <v>429</v>
      </c>
      <c r="E487" s="24" t="s">
        <v>121</v>
      </c>
      <c r="F487" s="216">
        <f t="shared" si="42"/>
        <v>0</v>
      </c>
      <c r="G487" s="209">
        <f>G488</f>
        <v>0</v>
      </c>
      <c r="H487" s="248"/>
      <c r="I487" s="217">
        <v>0</v>
      </c>
      <c r="J487" s="148" t="e">
        <f t="shared" si="39"/>
        <v>#DIV/0!</v>
      </c>
      <c r="L487" s="119" t="e">
        <f t="shared" si="41"/>
        <v>#DIV/0!</v>
      </c>
    </row>
    <row r="488" spans="1:12" ht="17.25" customHeight="1" hidden="1">
      <c r="A488" s="74" t="s">
        <v>152</v>
      </c>
      <c r="B488" s="24" t="s">
        <v>317</v>
      </c>
      <c r="C488" s="24" t="s">
        <v>123</v>
      </c>
      <c r="D488" s="54" t="s">
        <v>429</v>
      </c>
      <c r="E488" s="24" t="s">
        <v>153</v>
      </c>
      <c r="F488" s="216">
        <f t="shared" si="42"/>
        <v>0</v>
      </c>
      <c r="G488" s="209">
        <v>0</v>
      </c>
      <c r="H488" s="248"/>
      <c r="I488" s="217">
        <v>0</v>
      </c>
      <c r="J488" s="148" t="e">
        <f t="shared" si="39"/>
        <v>#DIV/0!</v>
      </c>
      <c r="L488" s="119" t="e">
        <f t="shared" si="41"/>
        <v>#DIV/0!</v>
      </c>
    </row>
    <row r="489" spans="1:12" ht="32.25" customHeight="1" hidden="1">
      <c r="A489" s="222" t="s">
        <v>180</v>
      </c>
      <c r="B489" s="223" t="s">
        <v>181</v>
      </c>
      <c r="C489" s="223" t="s">
        <v>113</v>
      </c>
      <c r="D489" s="303" t="s">
        <v>262</v>
      </c>
      <c r="E489" s="223" t="s">
        <v>347</v>
      </c>
      <c r="F489" s="224">
        <f>F490+F495+F502+F505</f>
        <v>41965.65573</v>
      </c>
      <c r="G489" s="224">
        <f>G490+G495+G502+G505</f>
        <v>770.1</v>
      </c>
      <c r="H489" s="224">
        <f>H490+H495+H502+H505</f>
        <v>41385.216089999994</v>
      </c>
      <c r="I489" s="224">
        <f>I490+I495+I502+I505</f>
        <v>40172.551949999994</v>
      </c>
      <c r="J489" s="225">
        <f t="shared" si="39"/>
        <v>95.72721133791752</v>
      </c>
      <c r="L489" s="119">
        <f t="shared" si="41"/>
        <v>95.72721133791752</v>
      </c>
    </row>
    <row r="490" spans="1:12" ht="24.75" customHeight="1" hidden="1">
      <c r="A490" s="253" t="s">
        <v>106</v>
      </c>
      <c r="B490" s="254" t="s">
        <v>181</v>
      </c>
      <c r="C490" s="254" t="s">
        <v>112</v>
      </c>
      <c r="D490" s="304" t="s">
        <v>262</v>
      </c>
      <c r="E490" s="254" t="s">
        <v>347</v>
      </c>
      <c r="F490" s="255">
        <f>G490+H490</f>
        <v>741.7</v>
      </c>
      <c r="G490" s="256">
        <f aca="true" t="shared" si="43" ref="G490:I491">G491</f>
        <v>741.7</v>
      </c>
      <c r="H490" s="256">
        <f t="shared" si="43"/>
        <v>0</v>
      </c>
      <c r="I490" s="256">
        <f t="shared" si="43"/>
        <v>689.72998</v>
      </c>
      <c r="J490" s="257">
        <f t="shared" si="39"/>
        <v>92.99312120803557</v>
      </c>
      <c r="L490" s="119">
        <f t="shared" si="41"/>
        <v>92.99312120803557</v>
      </c>
    </row>
    <row r="491" spans="1:12" ht="147.75" customHeight="1" hidden="1">
      <c r="A491" s="44" t="s">
        <v>517</v>
      </c>
      <c r="B491" s="24" t="s">
        <v>181</v>
      </c>
      <c r="C491" s="24" t="s">
        <v>112</v>
      </c>
      <c r="D491" s="54" t="s">
        <v>80</v>
      </c>
      <c r="E491" s="24" t="s">
        <v>347</v>
      </c>
      <c r="F491" s="216">
        <f>G491+H491</f>
        <v>741.7</v>
      </c>
      <c r="G491" s="209">
        <f t="shared" si="43"/>
        <v>741.7</v>
      </c>
      <c r="H491" s="209">
        <f t="shared" si="43"/>
        <v>0</v>
      </c>
      <c r="I491" s="217">
        <f t="shared" si="43"/>
        <v>689.72998</v>
      </c>
      <c r="J491" s="148">
        <f t="shared" si="39"/>
        <v>92.99312120803557</v>
      </c>
      <c r="L491" s="119">
        <f t="shared" si="41"/>
        <v>92.99312120803557</v>
      </c>
    </row>
    <row r="492" spans="1:12" ht="50.25" customHeight="1">
      <c r="A492" s="44" t="s">
        <v>107</v>
      </c>
      <c r="B492" s="24" t="s">
        <v>181</v>
      </c>
      <c r="C492" s="24" t="s">
        <v>112</v>
      </c>
      <c r="D492" s="54" t="s">
        <v>80</v>
      </c>
      <c r="E492" s="24" t="s">
        <v>347</v>
      </c>
      <c r="F492" s="216">
        <f>G492+H492</f>
        <v>741.7</v>
      </c>
      <c r="G492" s="209">
        <f>G493</f>
        <v>741.7</v>
      </c>
      <c r="H492" s="209">
        <f>H494</f>
        <v>0</v>
      </c>
      <c r="I492" s="217">
        <f>I493</f>
        <v>689.72998</v>
      </c>
      <c r="J492" s="148">
        <f t="shared" si="39"/>
        <v>92.99312120803557</v>
      </c>
      <c r="L492" s="119">
        <f>I492/F492*100</f>
        <v>92.99312120803557</v>
      </c>
    </row>
    <row r="493" spans="1:12" ht="15.75">
      <c r="A493" s="44" t="s">
        <v>165</v>
      </c>
      <c r="B493" s="24" t="s">
        <v>181</v>
      </c>
      <c r="C493" s="24" t="s">
        <v>112</v>
      </c>
      <c r="D493" s="54" t="s">
        <v>80</v>
      </c>
      <c r="E493" s="24" t="s">
        <v>122</v>
      </c>
      <c r="F493" s="216">
        <f>G493+H493</f>
        <v>741.7</v>
      </c>
      <c r="G493" s="209">
        <f>G494</f>
        <v>741.7</v>
      </c>
      <c r="H493" s="209"/>
      <c r="I493" s="217">
        <f>I494</f>
        <v>689.72998</v>
      </c>
      <c r="J493" s="148">
        <f t="shared" si="39"/>
        <v>92.99312120803557</v>
      </c>
      <c r="L493" s="119">
        <f aca="true" t="shared" si="44" ref="L493:L556">I493/F493*100</f>
        <v>92.99312120803557</v>
      </c>
    </row>
    <row r="494" spans="1:12" ht="37.5" customHeight="1">
      <c r="A494" s="44" t="s">
        <v>166</v>
      </c>
      <c r="B494" s="24" t="s">
        <v>181</v>
      </c>
      <c r="C494" s="24" t="s">
        <v>112</v>
      </c>
      <c r="D494" s="54" t="s">
        <v>80</v>
      </c>
      <c r="E494" s="24" t="s">
        <v>167</v>
      </c>
      <c r="F494" s="216">
        <f>G494+H494</f>
        <v>741.7</v>
      </c>
      <c r="G494" s="209">
        <v>741.7</v>
      </c>
      <c r="H494" s="226"/>
      <c r="I494" s="217">
        <v>689.72998</v>
      </c>
      <c r="J494" s="148">
        <f t="shared" si="39"/>
        <v>92.99312120803557</v>
      </c>
      <c r="L494" s="119">
        <f t="shared" si="44"/>
        <v>92.99312120803557</v>
      </c>
    </row>
    <row r="495" spans="1:12" ht="15.75">
      <c r="A495" s="280" t="s">
        <v>516</v>
      </c>
      <c r="B495" s="281" t="s">
        <v>181</v>
      </c>
      <c r="C495" s="281" t="s">
        <v>119</v>
      </c>
      <c r="D495" s="301" t="s">
        <v>262</v>
      </c>
      <c r="E495" s="281" t="s">
        <v>347</v>
      </c>
      <c r="F495" s="282">
        <f>F496+F499</f>
        <v>608.4</v>
      </c>
      <c r="G495" s="282">
        <f>G496+G499</f>
        <v>28.400000000000006</v>
      </c>
      <c r="H495" s="282">
        <f>H496+H499</f>
        <v>580</v>
      </c>
      <c r="I495" s="282">
        <f>I496+I499</f>
        <v>583.392</v>
      </c>
      <c r="J495" s="283">
        <f t="shared" si="39"/>
        <v>95.88954635108482</v>
      </c>
      <c r="K495" s="309"/>
      <c r="L495" s="275">
        <f t="shared" si="44"/>
        <v>95.88954635108482</v>
      </c>
    </row>
    <row r="496" spans="1:12" ht="78.75">
      <c r="A496" s="51" t="s">
        <v>491</v>
      </c>
      <c r="B496" s="45" t="s">
        <v>181</v>
      </c>
      <c r="C496" s="45" t="s">
        <v>119</v>
      </c>
      <c r="D496" s="80" t="s">
        <v>43</v>
      </c>
      <c r="E496" s="45" t="s">
        <v>347</v>
      </c>
      <c r="F496" s="218">
        <f>H496</f>
        <v>580</v>
      </c>
      <c r="G496" s="219"/>
      <c r="H496" s="219">
        <f>H497+H499</f>
        <v>580</v>
      </c>
      <c r="I496" s="220">
        <f>I497</f>
        <v>555</v>
      </c>
      <c r="J496" s="149">
        <f t="shared" si="39"/>
        <v>95.6896551724138</v>
      </c>
      <c r="L496" s="119">
        <f t="shared" si="44"/>
        <v>95.6896551724138</v>
      </c>
    </row>
    <row r="497" spans="1:12" ht="15.75">
      <c r="A497" s="44" t="s">
        <v>165</v>
      </c>
      <c r="B497" s="24" t="s">
        <v>181</v>
      </c>
      <c r="C497" s="24" t="s">
        <v>119</v>
      </c>
      <c r="D497" s="54" t="s">
        <v>642</v>
      </c>
      <c r="E497" s="24" t="s">
        <v>122</v>
      </c>
      <c r="F497" s="216">
        <f>H497</f>
        <v>580</v>
      </c>
      <c r="G497" s="209"/>
      <c r="H497" s="209">
        <f>H498</f>
        <v>580</v>
      </c>
      <c r="I497" s="217">
        <f>I498</f>
        <v>555</v>
      </c>
      <c r="J497" s="148">
        <f t="shared" si="39"/>
        <v>95.6896551724138</v>
      </c>
      <c r="L497" s="119">
        <f t="shared" si="44"/>
        <v>95.6896551724138</v>
      </c>
    </row>
    <row r="498" spans="1:12" ht="31.5">
      <c r="A498" s="44" t="s">
        <v>168</v>
      </c>
      <c r="B498" s="24" t="s">
        <v>181</v>
      </c>
      <c r="C498" s="24" t="s">
        <v>119</v>
      </c>
      <c r="D498" s="54" t="s">
        <v>642</v>
      </c>
      <c r="E498" s="24" t="s">
        <v>169</v>
      </c>
      <c r="F498" s="216">
        <f>H498</f>
        <v>580</v>
      </c>
      <c r="G498" s="209"/>
      <c r="H498" s="209">
        <f>2375-1795</f>
        <v>580</v>
      </c>
      <c r="I498" s="217">
        <v>555</v>
      </c>
      <c r="J498" s="148">
        <f t="shared" si="39"/>
        <v>95.6896551724138</v>
      </c>
      <c r="L498" s="119">
        <f t="shared" si="44"/>
        <v>95.6896551724138</v>
      </c>
    </row>
    <row r="499" spans="1:12" ht="47.25">
      <c r="A499" s="51" t="s">
        <v>417</v>
      </c>
      <c r="B499" s="45" t="s">
        <v>181</v>
      </c>
      <c r="C499" s="45" t="s">
        <v>119</v>
      </c>
      <c r="D499" s="80" t="s">
        <v>81</v>
      </c>
      <c r="E499" s="45" t="s">
        <v>347</v>
      </c>
      <c r="F499" s="218">
        <f>G499+H499</f>
        <v>28.400000000000006</v>
      </c>
      <c r="G499" s="219">
        <f>G500</f>
        <v>28.400000000000006</v>
      </c>
      <c r="H499" s="219">
        <f>H501</f>
        <v>0</v>
      </c>
      <c r="I499" s="220">
        <f>I500</f>
        <v>28.392</v>
      </c>
      <c r="J499" s="149">
        <f t="shared" si="39"/>
        <v>99.97183098591546</v>
      </c>
      <c r="L499" s="119">
        <f t="shared" si="44"/>
        <v>99.97183098591546</v>
      </c>
    </row>
    <row r="500" spans="1:12" ht="37.5" customHeight="1">
      <c r="A500" s="44" t="s">
        <v>165</v>
      </c>
      <c r="B500" s="24" t="s">
        <v>181</v>
      </c>
      <c r="C500" s="24" t="s">
        <v>119</v>
      </c>
      <c r="D500" s="54" t="s">
        <v>82</v>
      </c>
      <c r="E500" s="24" t="s">
        <v>122</v>
      </c>
      <c r="F500" s="216">
        <f>G500</f>
        <v>28.400000000000006</v>
      </c>
      <c r="G500" s="209">
        <f>G501</f>
        <v>28.400000000000006</v>
      </c>
      <c r="H500" s="209"/>
      <c r="I500" s="217">
        <f>I501</f>
        <v>28.392</v>
      </c>
      <c r="J500" s="148">
        <f t="shared" si="39"/>
        <v>99.97183098591546</v>
      </c>
      <c r="L500" s="119">
        <f t="shared" si="44"/>
        <v>99.97183098591546</v>
      </c>
    </row>
    <row r="501" spans="1:12" ht="31.5">
      <c r="A501" s="44" t="s">
        <v>168</v>
      </c>
      <c r="B501" s="24" t="s">
        <v>181</v>
      </c>
      <c r="C501" s="24" t="s">
        <v>119</v>
      </c>
      <c r="D501" s="54" t="s">
        <v>82</v>
      </c>
      <c r="E501" s="24" t="s">
        <v>169</v>
      </c>
      <c r="F501" s="216">
        <f>G501+H501</f>
        <v>28.400000000000006</v>
      </c>
      <c r="G501" s="209">
        <f>200-171.6</f>
        <v>28.400000000000006</v>
      </c>
      <c r="H501" s="209"/>
      <c r="I501" s="217">
        <v>28.392</v>
      </c>
      <c r="J501" s="148">
        <f t="shared" si="39"/>
        <v>99.97183098591546</v>
      </c>
      <c r="L501" s="119">
        <f t="shared" si="44"/>
        <v>99.97183098591546</v>
      </c>
    </row>
    <row r="502" spans="1:12" ht="15.75" hidden="1">
      <c r="A502" s="258" t="s">
        <v>463</v>
      </c>
      <c r="B502" s="82" t="s">
        <v>181</v>
      </c>
      <c r="C502" s="82" t="s">
        <v>119</v>
      </c>
      <c r="D502" s="304" t="s">
        <v>262</v>
      </c>
      <c r="E502" s="254" t="s">
        <v>347</v>
      </c>
      <c r="F502" s="255">
        <f>G502</f>
        <v>0</v>
      </c>
      <c r="G502" s="256">
        <f>G503</f>
        <v>0</v>
      </c>
      <c r="H502" s="256"/>
      <c r="I502" s="256">
        <f>I503</f>
        <v>0</v>
      </c>
      <c r="J502" s="257" t="e">
        <f t="shared" si="39"/>
        <v>#DIV/0!</v>
      </c>
      <c r="L502" s="119" t="e">
        <f t="shared" si="44"/>
        <v>#DIV/0!</v>
      </c>
    </row>
    <row r="503" spans="1:12" ht="15.75" hidden="1">
      <c r="A503" s="44" t="s">
        <v>165</v>
      </c>
      <c r="B503" s="24" t="s">
        <v>181</v>
      </c>
      <c r="C503" s="24" t="s">
        <v>119</v>
      </c>
      <c r="D503" s="54" t="s">
        <v>464</v>
      </c>
      <c r="E503" s="24" t="s">
        <v>122</v>
      </c>
      <c r="F503" s="216">
        <f>G503</f>
        <v>0</v>
      </c>
      <c r="G503" s="209">
        <f>G504</f>
        <v>0</v>
      </c>
      <c r="H503" s="209"/>
      <c r="I503" s="217">
        <v>0</v>
      </c>
      <c r="J503" s="148" t="e">
        <f t="shared" si="39"/>
        <v>#DIV/0!</v>
      </c>
      <c r="L503" s="119" t="e">
        <f t="shared" si="44"/>
        <v>#DIV/0!</v>
      </c>
    </row>
    <row r="504" spans="1:12" ht="31.5" hidden="1">
      <c r="A504" s="44" t="s">
        <v>168</v>
      </c>
      <c r="B504" s="24" t="s">
        <v>181</v>
      </c>
      <c r="C504" s="24" t="s">
        <v>119</v>
      </c>
      <c r="D504" s="54" t="s">
        <v>464</v>
      </c>
      <c r="E504" s="24" t="s">
        <v>169</v>
      </c>
      <c r="F504" s="216">
        <f>G504</f>
        <v>0</v>
      </c>
      <c r="G504" s="209"/>
      <c r="H504" s="209"/>
      <c r="I504" s="217">
        <v>0</v>
      </c>
      <c r="J504" s="148" t="e">
        <f t="shared" si="39"/>
        <v>#DIV/0!</v>
      </c>
      <c r="L504" s="119" t="e">
        <f t="shared" si="44"/>
        <v>#DIV/0!</v>
      </c>
    </row>
    <row r="505" spans="1:12" ht="15.75">
      <c r="A505" s="280" t="s">
        <v>340</v>
      </c>
      <c r="B505" s="281" t="s">
        <v>181</v>
      </c>
      <c r="C505" s="281" t="s">
        <v>123</v>
      </c>
      <c r="D505" s="301" t="s">
        <v>262</v>
      </c>
      <c r="E505" s="281" t="s">
        <v>347</v>
      </c>
      <c r="F505" s="282">
        <f>F506+F511+F516+F521+F527</f>
        <v>40615.55573</v>
      </c>
      <c r="G505" s="282">
        <f>G506+G511+G516+G521+G527</f>
        <v>0</v>
      </c>
      <c r="H505" s="282">
        <f>H506+H511+H516+H521+H527</f>
        <v>40805.216089999994</v>
      </c>
      <c r="I505" s="282">
        <f>I506+I511+I516+I521+I527</f>
        <v>38899.42997</v>
      </c>
      <c r="J505" s="268">
        <f t="shared" si="39"/>
        <v>95.77470816499893</v>
      </c>
      <c r="K505" s="309"/>
      <c r="L505" s="275">
        <f t="shared" si="44"/>
        <v>95.77470816499893</v>
      </c>
    </row>
    <row r="506" spans="1:12" ht="47.25">
      <c r="A506" s="51" t="s">
        <v>408</v>
      </c>
      <c r="B506" s="24" t="s">
        <v>181</v>
      </c>
      <c r="C506" s="24" t="s">
        <v>123</v>
      </c>
      <c r="D506" s="54" t="s">
        <v>25</v>
      </c>
      <c r="E506" s="24" t="s">
        <v>347</v>
      </c>
      <c r="F506" s="216">
        <f>G506+H506</f>
        <v>2456.15024</v>
      </c>
      <c r="G506" s="209">
        <f>G507</f>
        <v>0</v>
      </c>
      <c r="H506" s="209">
        <f>H507</f>
        <v>2456.15024</v>
      </c>
      <c r="I506" s="217">
        <f>I507</f>
        <v>2164.62175</v>
      </c>
      <c r="J506" s="148">
        <f t="shared" si="39"/>
        <v>88.13067355358521</v>
      </c>
      <c r="L506" s="119">
        <f t="shared" si="44"/>
        <v>88.13067355358521</v>
      </c>
    </row>
    <row r="507" spans="1:12" ht="31.5">
      <c r="A507" s="52" t="s">
        <v>83</v>
      </c>
      <c r="B507" s="24" t="s">
        <v>181</v>
      </c>
      <c r="C507" s="24" t="s">
        <v>123</v>
      </c>
      <c r="D507" s="54" t="s">
        <v>38</v>
      </c>
      <c r="E507" s="24" t="s">
        <v>347</v>
      </c>
      <c r="F507" s="216">
        <f>F509+F510</f>
        <v>2456.15024</v>
      </c>
      <c r="G507" s="216">
        <f>G509+G510</f>
        <v>0</v>
      </c>
      <c r="H507" s="216">
        <f>H509+H510</f>
        <v>2456.15024</v>
      </c>
      <c r="I507" s="216">
        <f>I509+I510</f>
        <v>2164.62175</v>
      </c>
      <c r="J507" s="148">
        <f t="shared" si="39"/>
        <v>88.13067355358521</v>
      </c>
      <c r="L507" s="119">
        <f t="shared" si="44"/>
        <v>88.13067355358521</v>
      </c>
    </row>
    <row r="508" spans="1:12" ht="78.75">
      <c r="A508" s="51" t="s">
        <v>183</v>
      </c>
      <c r="B508" s="24" t="s">
        <v>181</v>
      </c>
      <c r="C508" s="24" t="s">
        <v>123</v>
      </c>
      <c r="D508" s="54" t="s">
        <v>84</v>
      </c>
      <c r="E508" s="24" t="s">
        <v>347</v>
      </c>
      <c r="F508" s="216">
        <f>G508+H508</f>
        <v>2456.15024</v>
      </c>
      <c r="G508" s="209">
        <f>G510</f>
        <v>0</v>
      </c>
      <c r="H508" s="209">
        <f>H510+H509</f>
        <v>2456.15024</v>
      </c>
      <c r="I508" s="217">
        <v>2164.62175</v>
      </c>
      <c r="J508" s="148">
        <f t="shared" si="39"/>
        <v>88.13067355358521</v>
      </c>
      <c r="L508" s="119">
        <f t="shared" si="44"/>
        <v>88.13067355358521</v>
      </c>
    </row>
    <row r="509" spans="1:12" ht="31.5">
      <c r="A509" s="74" t="s">
        <v>152</v>
      </c>
      <c r="B509" s="24" t="s">
        <v>181</v>
      </c>
      <c r="C509" s="24" t="s">
        <v>123</v>
      </c>
      <c r="D509" s="54" t="s">
        <v>84</v>
      </c>
      <c r="E509" s="24" t="s">
        <v>153</v>
      </c>
      <c r="F509" s="216">
        <f>G509+H509</f>
        <v>36.84226</v>
      </c>
      <c r="G509" s="209"/>
      <c r="H509" s="209">
        <f>69.70985-32.86759</f>
        <v>36.84226</v>
      </c>
      <c r="I509" s="217">
        <v>30.71602</v>
      </c>
      <c r="J509" s="148">
        <f t="shared" si="39"/>
        <v>83.37170412455696</v>
      </c>
      <c r="L509" s="119">
        <f t="shared" si="44"/>
        <v>83.37170412455696</v>
      </c>
    </row>
    <row r="510" spans="1:12" ht="31.5">
      <c r="A510" s="44" t="s">
        <v>166</v>
      </c>
      <c r="B510" s="24" t="s">
        <v>181</v>
      </c>
      <c r="C510" s="24" t="s">
        <v>123</v>
      </c>
      <c r="D510" s="54" t="s">
        <v>84</v>
      </c>
      <c r="E510" s="24" t="s">
        <v>167</v>
      </c>
      <c r="F510" s="216">
        <f>G510+H510</f>
        <v>2419.30798</v>
      </c>
      <c r="G510" s="209"/>
      <c r="H510" s="209">
        <f>4577.61315-2158.30517</f>
        <v>2419.30798</v>
      </c>
      <c r="I510" s="217">
        <v>2133.90573</v>
      </c>
      <c r="J510" s="148">
        <f t="shared" si="39"/>
        <v>88.20314518203672</v>
      </c>
      <c r="L510" s="119">
        <f t="shared" si="44"/>
        <v>88.20314518203672</v>
      </c>
    </row>
    <row r="511" spans="1:12" ht="47.25">
      <c r="A511" s="51" t="s">
        <v>408</v>
      </c>
      <c r="B511" s="45" t="s">
        <v>181</v>
      </c>
      <c r="C511" s="45" t="s">
        <v>123</v>
      </c>
      <c r="D511" s="80" t="s">
        <v>25</v>
      </c>
      <c r="E511" s="45" t="s">
        <v>347</v>
      </c>
      <c r="F511" s="218">
        <f>F512</f>
        <v>210.33964</v>
      </c>
      <c r="G511" s="219">
        <v>0</v>
      </c>
      <c r="H511" s="219">
        <f>H512</f>
        <v>400</v>
      </c>
      <c r="I511" s="220">
        <v>101.2</v>
      </c>
      <c r="J511" s="149">
        <f t="shared" si="39"/>
        <v>48.112661978502956</v>
      </c>
      <c r="L511" s="119">
        <f t="shared" si="44"/>
        <v>48.112661978502956</v>
      </c>
    </row>
    <row r="512" spans="1:12" ht="15.75">
      <c r="A512" s="259" t="s">
        <v>396</v>
      </c>
      <c r="B512" s="45" t="s">
        <v>181</v>
      </c>
      <c r="C512" s="45" t="s">
        <v>123</v>
      </c>
      <c r="D512" s="80" t="s">
        <v>60</v>
      </c>
      <c r="E512" s="45" t="s">
        <v>347</v>
      </c>
      <c r="F512" s="218">
        <f>F513</f>
        <v>210.33964</v>
      </c>
      <c r="G512" s="219">
        <v>0</v>
      </c>
      <c r="H512" s="219">
        <f>H513</f>
        <v>400</v>
      </c>
      <c r="I512" s="220">
        <v>101.2</v>
      </c>
      <c r="J512" s="149">
        <f t="shared" si="39"/>
        <v>48.112661978502956</v>
      </c>
      <c r="L512" s="119">
        <f t="shared" si="44"/>
        <v>48.112661978502956</v>
      </c>
    </row>
    <row r="513" spans="1:12" ht="63">
      <c r="A513" s="51" t="s">
        <v>632</v>
      </c>
      <c r="B513" s="24" t="s">
        <v>181</v>
      </c>
      <c r="C513" s="24" t="s">
        <v>123</v>
      </c>
      <c r="D513" s="80" t="s">
        <v>60</v>
      </c>
      <c r="E513" s="45" t="s">
        <v>347</v>
      </c>
      <c r="F513" s="216">
        <f>F514</f>
        <v>210.33964</v>
      </c>
      <c r="G513" s="209">
        <v>0</v>
      </c>
      <c r="H513" s="209">
        <f>H514</f>
        <v>400</v>
      </c>
      <c r="I513" s="217">
        <v>101.2</v>
      </c>
      <c r="J513" s="148">
        <f t="shared" si="39"/>
        <v>48.112661978502956</v>
      </c>
      <c r="L513" s="119">
        <f t="shared" si="44"/>
        <v>48.112661978502956</v>
      </c>
    </row>
    <row r="514" spans="1:12" ht="15.75">
      <c r="A514" s="74" t="s">
        <v>165</v>
      </c>
      <c r="B514" s="24" t="s">
        <v>181</v>
      </c>
      <c r="C514" s="24" t="s">
        <v>123</v>
      </c>
      <c r="D514" s="54" t="s">
        <v>61</v>
      </c>
      <c r="E514" s="24" t="s">
        <v>122</v>
      </c>
      <c r="F514" s="216">
        <f>F515</f>
        <v>210.33964</v>
      </c>
      <c r="G514" s="209">
        <v>0</v>
      </c>
      <c r="H514" s="209">
        <f>H515</f>
        <v>400</v>
      </c>
      <c r="I514" s="217">
        <v>101.2</v>
      </c>
      <c r="J514" s="148">
        <f t="shared" si="39"/>
        <v>48.112661978502956</v>
      </c>
      <c r="L514" s="119">
        <f t="shared" si="44"/>
        <v>48.112661978502956</v>
      </c>
    </row>
    <row r="515" spans="1:12" ht="31.5">
      <c r="A515" s="74" t="s">
        <v>166</v>
      </c>
      <c r="B515" s="24" t="s">
        <v>181</v>
      </c>
      <c r="C515" s="24" t="s">
        <v>123</v>
      </c>
      <c r="D515" s="54" t="s">
        <v>61</v>
      </c>
      <c r="E515" s="24" t="s">
        <v>167</v>
      </c>
      <c r="F515" s="216">
        <v>210.33964</v>
      </c>
      <c r="G515" s="209">
        <v>0</v>
      </c>
      <c r="H515" s="209">
        <v>400</v>
      </c>
      <c r="I515" s="217">
        <v>101.2</v>
      </c>
      <c r="J515" s="148">
        <f t="shared" si="39"/>
        <v>48.112661978502956</v>
      </c>
      <c r="L515" s="119">
        <f t="shared" si="44"/>
        <v>48.112661978502956</v>
      </c>
    </row>
    <row r="516" spans="1:12" ht="63">
      <c r="A516" s="62" t="s">
        <v>524</v>
      </c>
      <c r="B516" s="45" t="s">
        <v>181</v>
      </c>
      <c r="C516" s="45" t="s">
        <v>123</v>
      </c>
      <c r="D516" s="80" t="s">
        <v>262</v>
      </c>
      <c r="E516" s="45" t="s">
        <v>347</v>
      </c>
      <c r="F516" s="218">
        <f>H516</f>
        <v>21572.52985</v>
      </c>
      <c r="G516" s="219"/>
      <c r="H516" s="219">
        <f>H517+H519</f>
        <v>21572.52985</v>
      </c>
      <c r="I516" s="220">
        <v>21569.46856</v>
      </c>
      <c r="J516" s="149">
        <f t="shared" si="39"/>
        <v>99.9858093138761</v>
      </c>
      <c r="L516" s="119">
        <f t="shared" si="44"/>
        <v>99.9858093138761</v>
      </c>
    </row>
    <row r="517" spans="1:12" ht="31.5">
      <c r="A517" s="44" t="s">
        <v>151</v>
      </c>
      <c r="B517" s="24" t="s">
        <v>181</v>
      </c>
      <c r="C517" s="24" t="s">
        <v>123</v>
      </c>
      <c r="D517" s="54" t="s">
        <v>523</v>
      </c>
      <c r="E517" s="24" t="s">
        <v>121</v>
      </c>
      <c r="F517" s="216">
        <f>G517+H517</f>
        <v>57</v>
      </c>
      <c r="G517" s="209"/>
      <c r="H517" s="209">
        <f>H518</f>
        <v>57</v>
      </c>
      <c r="I517" s="217">
        <f>I518</f>
        <v>53.93871</v>
      </c>
      <c r="J517" s="148">
        <f t="shared" si="39"/>
        <v>94.6293157894737</v>
      </c>
      <c r="L517" s="119">
        <f t="shared" si="44"/>
        <v>94.6293157894737</v>
      </c>
    </row>
    <row r="518" spans="1:12" ht="31.5">
      <c r="A518" s="74" t="s">
        <v>152</v>
      </c>
      <c r="B518" s="24" t="s">
        <v>181</v>
      </c>
      <c r="C518" s="24" t="s">
        <v>123</v>
      </c>
      <c r="D518" s="54" t="s">
        <v>523</v>
      </c>
      <c r="E518" s="24" t="s">
        <v>153</v>
      </c>
      <c r="F518" s="216">
        <f>G518+H518</f>
        <v>57</v>
      </c>
      <c r="G518" s="209"/>
      <c r="H518" s="209">
        <f>43+14</f>
        <v>57</v>
      </c>
      <c r="I518" s="217">
        <v>53.93871</v>
      </c>
      <c r="J518" s="148">
        <f t="shared" si="39"/>
        <v>94.6293157894737</v>
      </c>
      <c r="L518" s="119">
        <f t="shared" si="44"/>
        <v>94.6293157894737</v>
      </c>
    </row>
    <row r="519" spans="1:12" ht="31.5">
      <c r="A519" s="74" t="s">
        <v>514</v>
      </c>
      <c r="B519" s="24" t="s">
        <v>181</v>
      </c>
      <c r="C519" s="24" t="s">
        <v>123</v>
      </c>
      <c r="D519" s="54" t="s">
        <v>523</v>
      </c>
      <c r="E519" s="24" t="s">
        <v>512</v>
      </c>
      <c r="F519" s="216">
        <f>H519</f>
        <v>21515.52985</v>
      </c>
      <c r="G519" s="209"/>
      <c r="H519" s="209">
        <f>H520</f>
        <v>21515.52985</v>
      </c>
      <c r="I519" s="217">
        <f>I520</f>
        <v>21515.52985</v>
      </c>
      <c r="J519" s="148">
        <f t="shared" si="39"/>
        <v>100</v>
      </c>
      <c r="L519" s="119">
        <f t="shared" si="44"/>
        <v>100</v>
      </c>
    </row>
    <row r="520" spans="1:12" ht="15.75">
      <c r="A520" s="74" t="s">
        <v>515</v>
      </c>
      <c r="B520" s="24" t="s">
        <v>181</v>
      </c>
      <c r="C520" s="24" t="s">
        <v>123</v>
      </c>
      <c r="D520" s="54" t="s">
        <v>523</v>
      </c>
      <c r="E520" s="24" t="s">
        <v>513</v>
      </c>
      <c r="F520" s="216">
        <f>H520</f>
        <v>21515.52985</v>
      </c>
      <c r="G520" s="209"/>
      <c r="H520" s="209">
        <f>21576.39094+128.39895-43-132.26004-14</f>
        <v>21515.52985</v>
      </c>
      <c r="I520" s="217">
        <v>21515.52985</v>
      </c>
      <c r="J520" s="148">
        <f t="shared" si="39"/>
        <v>100</v>
      </c>
      <c r="L520" s="119">
        <f t="shared" si="44"/>
        <v>100</v>
      </c>
    </row>
    <row r="521" spans="1:12" ht="94.5">
      <c r="A521" s="51" t="s">
        <v>643</v>
      </c>
      <c r="B521" s="45" t="s">
        <v>181</v>
      </c>
      <c r="C521" s="45" t="s">
        <v>123</v>
      </c>
      <c r="D521" s="80" t="s">
        <v>644</v>
      </c>
      <c r="E521" s="45" t="s">
        <v>347</v>
      </c>
      <c r="F521" s="218">
        <f aca="true" t="shared" si="45" ref="F521:F537">G521+H521</f>
        <v>15875.701</v>
      </c>
      <c r="G521" s="219"/>
      <c r="H521" s="219">
        <f>H522+H524</f>
        <v>15875.701</v>
      </c>
      <c r="I521" s="220">
        <v>14887.69924</v>
      </c>
      <c r="J521" s="149">
        <f t="shared" si="39"/>
        <v>93.7766416739645</v>
      </c>
      <c r="L521" s="119">
        <f t="shared" si="44"/>
        <v>93.7766416739645</v>
      </c>
    </row>
    <row r="522" spans="1:12" ht="31.5">
      <c r="A522" s="44" t="s">
        <v>151</v>
      </c>
      <c r="B522" s="24" t="s">
        <v>181</v>
      </c>
      <c r="C522" s="24" t="s">
        <v>123</v>
      </c>
      <c r="D522" s="54" t="s">
        <v>644</v>
      </c>
      <c r="E522" s="24" t="s">
        <v>121</v>
      </c>
      <c r="F522" s="216">
        <f>H522</f>
        <v>150</v>
      </c>
      <c r="G522" s="209"/>
      <c r="H522" s="209">
        <f>H523</f>
        <v>150</v>
      </c>
      <c r="I522" s="217">
        <f>I523</f>
        <v>89.19852</v>
      </c>
      <c r="J522" s="148">
        <f t="shared" si="39"/>
        <v>59.46568</v>
      </c>
      <c r="L522" s="119">
        <f t="shared" si="44"/>
        <v>59.46568</v>
      </c>
    </row>
    <row r="523" spans="1:12" ht="31.5">
      <c r="A523" s="74" t="s">
        <v>152</v>
      </c>
      <c r="B523" s="24" t="s">
        <v>181</v>
      </c>
      <c r="C523" s="24" t="s">
        <v>123</v>
      </c>
      <c r="D523" s="54" t="s">
        <v>644</v>
      </c>
      <c r="E523" s="24" t="s">
        <v>153</v>
      </c>
      <c r="F523" s="216">
        <f>H523</f>
        <v>150</v>
      </c>
      <c r="G523" s="209"/>
      <c r="H523" s="209">
        <v>150</v>
      </c>
      <c r="I523" s="217">
        <v>89.19852</v>
      </c>
      <c r="J523" s="148">
        <f t="shared" si="39"/>
        <v>59.46568</v>
      </c>
      <c r="L523" s="119">
        <f t="shared" si="44"/>
        <v>59.46568</v>
      </c>
    </row>
    <row r="524" spans="1:12" ht="15.75">
      <c r="A524" s="44" t="s">
        <v>165</v>
      </c>
      <c r="B524" s="24" t="s">
        <v>181</v>
      </c>
      <c r="C524" s="24" t="s">
        <v>123</v>
      </c>
      <c r="D524" s="54" t="s">
        <v>644</v>
      </c>
      <c r="E524" s="24" t="s">
        <v>122</v>
      </c>
      <c r="F524" s="216">
        <f t="shared" si="45"/>
        <v>15725.701</v>
      </c>
      <c r="G524" s="209"/>
      <c r="H524" s="209">
        <f>H525+H526</f>
        <v>15725.701</v>
      </c>
      <c r="I524" s="217">
        <v>14798.50972</v>
      </c>
      <c r="J524" s="148">
        <f t="shared" si="39"/>
        <v>94.1039748879875</v>
      </c>
      <c r="L524" s="119">
        <f t="shared" si="44"/>
        <v>94.1039748879875</v>
      </c>
    </row>
    <row r="525" spans="1:12" ht="31.5">
      <c r="A525" s="74" t="s">
        <v>166</v>
      </c>
      <c r="B525" s="24" t="s">
        <v>181</v>
      </c>
      <c r="C525" s="24" t="s">
        <v>123</v>
      </c>
      <c r="D525" s="54" t="s">
        <v>644</v>
      </c>
      <c r="E525" s="24" t="s">
        <v>167</v>
      </c>
      <c r="F525" s="216">
        <f t="shared" si="45"/>
        <v>11103.796999999999</v>
      </c>
      <c r="G525" s="209"/>
      <c r="H525" s="209">
        <f>14592.018-1121.904-150-2216.317</f>
        <v>11103.796999999999</v>
      </c>
      <c r="I525" s="217">
        <v>11022.1086</v>
      </c>
      <c r="J525" s="148">
        <f t="shared" si="39"/>
        <v>99.26432012400804</v>
      </c>
      <c r="L525" s="119">
        <f t="shared" si="44"/>
        <v>99.26432012400804</v>
      </c>
    </row>
    <row r="526" spans="1:12" ht="31.5">
      <c r="A526" s="44" t="s">
        <v>168</v>
      </c>
      <c r="B526" s="24" t="s">
        <v>181</v>
      </c>
      <c r="C526" s="24" t="s">
        <v>123</v>
      </c>
      <c r="D526" s="54" t="s">
        <v>644</v>
      </c>
      <c r="E526" s="24" t="s">
        <v>169</v>
      </c>
      <c r="F526" s="216">
        <f t="shared" si="45"/>
        <v>4621.904</v>
      </c>
      <c r="G526" s="209"/>
      <c r="H526" s="209">
        <f>3500+1121.904</f>
        <v>4621.904</v>
      </c>
      <c r="I526" s="217">
        <v>3776.40112</v>
      </c>
      <c r="J526" s="148">
        <f t="shared" si="39"/>
        <v>81.70661095513883</v>
      </c>
      <c r="L526" s="119">
        <f t="shared" si="44"/>
        <v>81.70661095513883</v>
      </c>
    </row>
    <row r="527" spans="1:12" ht="88.5" customHeight="1">
      <c r="A527" s="51" t="s">
        <v>645</v>
      </c>
      <c r="B527" s="45" t="s">
        <v>181</v>
      </c>
      <c r="C527" s="45" t="s">
        <v>123</v>
      </c>
      <c r="D527" s="80" t="s">
        <v>646</v>
      </c>
      <c r="E527" s="45" t="s">
        <v>347</v>
      </c>
      <c r="F527" s="218">
        <f t="shared" si="45"/>
        <v>500.835</v>
      </c>
      <c r="G527" s="219"/>
      <c r="H527" s="219">
        <f>H528+H530</f>
        <v>500.835</v>
      </c>
      <c r="I527" s="220">
        <v>176.44042</v>
      </c>
      <c r="J527" s="149">
        <f t="shared" si="39"/>
        <v>35.229251150578534</v>
      </c>
      <c r="L527" s="119">
        <f t="shared" si="44"/>
        <v>35.229251150578534</v>
      </c>
    </row>
    <row r="528" spans="1:12" ht="31.5">
      <c r="A528" s="44" t="s">
        <v>151</v>
      </c>
      <c r="B528" s="24" t="s">
        <v>181</v>
      </c>
      <c r="C528" s="24" t="s">
        <v>123</v>
      </c>
      <c r="D528" s="54" t="s">
        <v>646</v>
      </c>
      <c r="E528" s="24" t="s">
        <v>121</v>
      </c>
      <c r="F528" s="216">
        <f>H528</f>
        <v>5</v>
      </c>
      <c r="G528" s="209"/>
      <c r="H528" s="209">
        <f>H529</f>
        <v>5</v>
      </c>
      <c r="I528" s="217">
        <v>0</v>
      </c>
      <c r="J528" s="148">
        <f aca="true" t="shared" si="46" ref="J528:J591">I528/F528*100</f>
        <v>0</v>
      </c>
      <c r="L528" s="119">
        <f t="shared" si="44"/>
        <v>0</v>
      </c>
    </row>
    <row r="529" spans="1:12" ht="31.5">
      <c r="A529" s="74" t="s">
        <v>152</v>
      </c>
      <c r="B529" s="24" t="s">
        <v>181</v>
      </c>
      <c r="C529" s="24" t="s">
        <v>123</v>
      </c>
      <c r="D529" s="54" t="s">
        <v>646</v>
      </c>
      <c r="E529" s="24" t="s">
        <v>153</v>
      </c>
      <c r="F529" s="216">
        <f>H529</f>
        <v>5</v>
      </c>
      <c r="G529" s="209"/>
      <c r="H529" s="209">
        <v>5</v>
      </c>
      <c r="I529" s="217">
        <v>0</v>
      </c>
      <c r="J529" s="148">
        <f t="shared" si="46"/>
        <v>0</v>
      </c>
      <c r="L529" s="119">
        <f t="shared" si="44"/>
        <v>0</v>
      </c>
    </row>
    <row r="530" spans="1:12" ht="15.75">
      <c r="A530" s="44" t="s">
        <v>165</v>
      </c>
      <c r="B530" s="24" t="s">
        <v>181</v>
      </c>
      <c r="C530" s="24" t="s">
        <v>123</v>
      </c>
      <c r="D530" s="54" t="s">
        <v>646</v>
      </c>
      <c r="E530" s="24" t="s">
        <v>122</v>
      </c>
      <c r="F530" s="216">
        <f t="shared" si="45"/>
        <v>495.835</v>
      </c>
      <c r="G530" s="209"/>
      <c r="H530" s="209">
        <f>H531</f>
        <v>495.835</v>
      </c>
      <c r="I530" s="217">
        <f>I531</f>
        <v>176.44042</v>
      </c>
      <c r="J530" s="148">
        <f t="shared" si="46"/>
        <v>35.58450290923392</v>
      </c>
      <c r="L530" s="119">
        <f t="shared" si="44"/>
        <v>35.58450290923392</v>
      </c>
    </row>
    <row r="531" spans="1:12" ht="31.5">
      <c r="A531" s="74" t="s">
        <v>166</v>
      </c>
      <c r="B531" s="24" t="s">
        <v>181</v>
      </c>
      <c r="C531" s="24" t="s">
        <v>123</v>
      </c>
      <c r="D531" s="54" t="s">
        <v>646</v>
      </c>
      <c r="E531" s="24" t="s">
        <v>167</v>
      </c>
      <c r="F531" s="216">
        <f t="shared" si="45"/>
        <v>495.835</v>
      </c>
      <c r="G531" s="209"/>
      <c r="H531" s="209">
        <f>500.835-5</f>
        <v>495.835</v>
      </c>
      <c r="I531" s="217">
        <v>176.44042</v>
      </c>
      <c r="J531" s="148">
        <f t="shared" si="46"/>
        <v>35.58450290923392</v>
      </c>
      <c r="L531" s="119">
        <f t="shared" si="44"/>
        <v>35.58450290923392</v>
      </c>
    </row>
    <row r="532" spans="1:12" ht="15.75">
      <c r="A532" s="287" t="s">
        <v>184</v>
      </c>
      <c r="B532" s="288" t="s">
        <v>130</v>
      </c>
      <c r="C532" s="288" t="s">
        <v>113</v>
      </c>
      <c r="D532" s="302" t="s">
        <v>262</v>
      </c>
      <c r="E532" s="288" t="s">
        <v>347</v>
      </c>
      <c r="F532" s="289">
        <f>G532+H532</f>
        <v>38861.806169999996</v>
      </c>
      <c r="G532" s="307">
        <f aca="true" t="shared" si="47" ref="G532:I533">G533</f>
        <v>968.11395</v>
      </c>
      <c r="H532" s="307">
        <f t="shared" si="47"/>
        <v>37893.69222</v>
      </c>
      <c r="I532" s="307">
        <f t="shared" si="47"/>
        <v>38472.16045999999</v>
      </c>
      <c r="J532" s="290">
        <f t="shared" si="46"/>
        <v>98.99735563422989</v>
      </c>
      <c r="K532" s="309"/>
      <c r="L532" s="275">
        <f t="shared" si="44"/>
        <v>98.99735563422989</v>
      </c>
    </row>
    <row r="533" spans="1:12" ht="15.75">
      <c r="A533" s="44" t="s">
        <v>283</v>
      </c>
      <c r="B533" s="24" t="s">
        <v>130</v>
      </c>
      <c r="C533" s="24" t="s">
        <v>114</v>
      </c>
      <c r="D533" s="54" t="s">
        <v>262</v>
      </c>
      <c r="E533" s="24" t="s">
        <v>347</v>
      </c>
      <c r="F533" s="216">
        <f t="shared" si="45"/>
        <v>38861.806169999996</v>
      </c>
      <c r="G533" s="209">
        <f t="shared" si="47"/>
        <v>968.11395</v>
      </c>
      <c r="H533" s="209">
        <f t="shared" si="47"/>
        <v>37893.69222</v>
      </c>
      <c r="I533" s="217">
        <f t="shared" si="47"/>
        <v>38472.16045999999</v>
      </c>
      <c r="J533" s="148">
        <f t="shared" si="46"/>
        <v>98.99735563422989</v>
      </c>
      <c r="L533" s="119">
        <f t="shared" si="44"/>
        <v>98.99735563422989</v>
      </c>
    </row>
    <row r="534" spans="1:12" ht="47.25">
      <c r="A534" s="51" t="s">
        <v>413</v>
      </c>
      <c r="B534" s="45" t="s">
        <v>130</v>
      </c>
      <c r="C534" s="45" t="s">
        <v>114</v>
      </c>
      <c r="D534" s="80" t="s">
        <v>85</v>
      </c>
      <c r="E534" s="45" t="s">
        <v>347</v>
      </c>
      <c r="F534" s="218">
        <f>F538+F563+F535+F553</f>
        <v>38861.806169999996</v>
      </c>
      <c r="G534" s="218">
        <f>G538+G563+G535+G553</f>
        <v>968.11395</v>
      </c>
      <c r="H534" s="218">
        <f>H538+H563+H535+H553</f>
        <v>37893.69222</v>
      </c>
      <c r="I534" s="218">
        <f>I538+I563+I535+I553</f>
        <v>38472.16045999999</v>
      </c>
      <c r="J534" s="149">
        <f t="shared" si="46"/>
        <v>98.99735563422989</v>
      </c>
      <c r="L534" s="119">
        <f t="shared" si="44"/>
        <v>98.99735563422989</v>
      </c>
    </row>
    <row r="535" spans="1:12" ht="31.5">
      <c r="A535" s="44" t="s">
        <v>185</v>
      </c>
      <c r="B535" s="24" t="s">
        <v>130</v>
      </c>
      <c r="C535" s="24" t="s">
        <v>114</v>
      </c>
      <c r="D535" s="54" t="s">
        <v>86</v>
      </c>
      <c r="E535" s="24" t="s">
        <v>347</v>
      </c>
      <c r="F535" s="216">
        <f t="shared" si="45"/>
        <v>89.00303000000001</v>
      </c>
      <c r="G535" s="209">
        <f>G536</f>
        <v>89.00303000000001</v>
      </c>
      <c r="H535" s="209">
        <f>H537</f>
        <v>0</v>
      </c>
      <c r="I535" s="217">
        <v>59</v>
      </c>
      <c r="J535" s="148">
        <f t="shared" si="46"/>
        <v>66.28987799628844</v>
      </c>
      <c r="L535" s="119">
        <f t="shared" si="44"/>
        <v>66.28987799628844</v>
      </c>
    </row>
    <row r="536" spans="1:12" ht="31.5">
      <c r="A536" s="44" t="s">
        <v>151</v>
      </c>
      <c r="B536" s="24" t="s">
        <v>130</v>
      </c>
      <c r="C536" s="24" t="s">
        <v>114</v>
      </c>
      <c r="D536" s="54" t="s">
        <v>86</v>
      </c>
      <c r="E536" s="24" t="s">
        <v>121</v>
      </c>
      <c r="F536" s="216">
        <f t="shared" si="45"/>
        <v>89.00303000000001</v>
      </c>
      <c r="G536" s="209">
        <f>G537</f>
        <v>89.00303000000001</v>
      </c>
      <c r="H536" s="209"/>
      <c r="I536" s="217">
        <v>59</v>
      </c>
      <c r="J536" s="148">
        <f t="shared" si="46"/>
        <v>66.28987799628844</v>
      </c>
      <c r="L536" s="119">
        <f t="shared" si="44"/>
        <v>66.28987799628844</v>
      </c>
    </row>
    <row r="537" spans="1:12" ht="31.5">
      <c r="A537" s="74" t="s">
        <v>152</v>
      </c>
      <c r="B537" s="24" t="s">
        <v>130</v>
      </c>
      <c r="C537" s="24" t="s">
        <v>114</v>
      </c>
      <c r="D537" s="54" t="s">
        <v>86</v>
      </c>
      <c r="E537" s="24" t="s">
        <v>153</v>
      </c>
      <c r="F537" s="216">
        <f t="shared" si="45"/>
        <v>89.00303000000001</v>
      </c>
      <c r="G537" s="209">
        <f>150-9.69697-23-28.3</f>
        <v>89.00303000000001</v>
      </c>
      <c r="H537" s="209"/>
      <c r="I537" s="217">
        <v>59</v>
      </c>
      <c r="J537" s="148">
        <f t="shared" si="46"/>
        <v>66.28987799628844</v>
      </c>
      <c r="L537" s="119">
        <f t="shared" si="44"/>
        <v>66.28987799628844</v>
      </c>
    </row>
    <row r="538" spans="1:12" ht="47.25">
      <c r="A538" s="227" t="s">
        <v>507</v>
      </c>
      <c r="B538" s="31" t="s">
        <v>130</v>
      </c>
      <c r="C538" s="31" t="s">
        <v>114</v>
      </c>
      <c r="D538" s="92" t="s">
        <v>85</v>
      </c>
      <c r="E538" s="31" t="s">
        <v>347</v>
      </c>
      <c r="F538" s="214">
        <f>F539+F546</f>
        <v>37291.48235</v>
      </c>
      <c r="G538" s="214">
        <f>G539+G546</f>
        <v>357.79013000000003</v>
      </c>
      <c r="H538" s="214">
        <f>H539+H546</f>
        <v>36933.69222</v>
      </c>
      <c r="I538" s="214">
        <f>I539+I546</f>
        <v>37229.746459999995</v>
      </c>
      <c r="J538" s="150">
        <f t="shared" si="46"/>
        <v>99.8344504264524</v>
      </c>
      <c r="L538" s="119">
        <f t="shared" si="44"/>
        <v>99.8344504264524</v>
      </c>
    </row>
    <row r="539" spans="1:12" ht="63">
      <c r="A539" s="62" t="s">
        <v>647</v>
      </c>
      <c r="B539" s="45" t="s">
        <v>130</v>
      </c>
      <c r="C539" s="45" t="s">
        <v>114</v>
      </c>
      <c r="D539" s="80" t="s">
        <v>540</v>
      </c>
      <c r="E539" s="45" t="s">
        <v>347</v>
      </c>
      <c r="F539" s="218">
        <f>F542+F544</f>
        <v>36933.69222</v>
      </c>
      <c r="G539" s="218">
        <f>G542+G544</f>
        <v>0</v>
      </c>
      <c r="H539" s="218">
        <f>H542+H544</f>
        <v>36933.69222</v>
      </c>
      <c r="I539" s="218">
        <f>I542+I544</f>
        <v>36872.69368</v>
      </c>
      <c r="J539" s="149">
        <f t="shared" si="46"/>
        <v>99.83484310304895</v>
      </c>
      <c r="L539" s="119">
        <f t="shared" si="44"/>
        <v>99.83484310304895</v>
      </c>
    </row>
    <row r="540" spans="1:12" ht="31.5" hidden="1">
      <c r="A540" s="44" t="s">
        <v>151</v>
      </c>
      <c r="B540" s="24" t="s">
        <v>130</v>
      </c>
      <c r="C540" s="24" t="s">
        <v>114</v>
      </c>
      <c r="D540" s="54" t="s">
        <v>540</v>
      </c>
      <c r="E540" s="24" t="s">
        <v>121</v>
      </c>
      <c r="F540" s="216">
        <f aca="true" t="shared" si="48" ref="F540:F545">H540</f>
        <v>0</v>
      </c>
      <c r="G540" s="209"/>
      <c r="H540" s="209">
        <f>H541</f>
        <v>0</v>
      </c>
      <c r="I540" s="217">
        <v>0</v>
      </c>
      <c r="J540" s="148" t="e">
        <f t="shared" si="46"/>
        <v>#DIV/0!</v>
      </c>
      <c r="L540" s="119" t="e">
        <f t="shared" si="44"/>
        <v>#DIV/0!</v>
      </c>
    </row>
    <row r="541" spans="1:12" ht="47.25" hidden="1">
      <c r="A541" s="74" t="s">
        <v>648</v>
      </c>
      <c r="B541" s="24" t="s">
        <v>130</v>
      </c>
      <c r="C541" s="24" t="s">
        <v>114</v>
      </c>
      <c r="D541" s="54" t="s">
        <v>540</v>
      </c>
      <c r="E541" s="24" t="s">
        <v>153</v>
      </c>
      <c r="F541" s="216">
        <f t="shared" si="48"/>
        <v>0</v>
      </c>
      <c r="G541" s="209"/>
      <c r="H541" s="209">
        <v>0</v>
      </c>
      <c r="I541" s="217">
        <v>0</v>
      </c>
      <c r="J541" s="148" t="e">
        <f t="shared" si="46"/>
        <v>#DIV/0!</v>
      </c>
      <c r="L541" s="119" t="e">
        <f t="shared" si="44"/>
        <v>#DIV/0!</v>
      </c>
    </row>
    <row r="542" spans="1:12" ht="31.5">
      <c r="A542" s="74" t="s">
        <v>514</v>
      </c>
      <c r="B542" s="24" t="s">
        <v>130</v>
      </c>
      <c r="C542" s="24" t="s">
        <v>114</v>
      </c>
      <c r="D542" s="54" t="s">
        <v>540</v>
      </c>
      <c r="E542" s="24" t="s">
        <v>512</v>
      </c>
      <c r="F542" s="216">
        <f t="shared" si="48"/>
        <v>33900</v>
      </c>
      <c r="G542" s="209"/>
      <c r="H542" s="209">
        <f>H543</f>
        <v>33900</v>
      </c>
      <c r="I542" s="217">
        <f>I543</f>
        <v>33839.00146</v>
      </c>
      <c r="J542" s="148">
        <f t="shared" si="46"/>
        <v>99.8200633038348</v>
      </c>
      <c r="L542" s="119">
        <f t="shared" si="44"/>
        <v>99.8200633038348</v>
      </c>
    </row>
    <row r="543" spans="1:12" ht="15.75">
      <c r="A543" s="74" t="s">
        <v>515</v>
      </c>
      <c r="B543" s="24" t="s">
        <v>130</v>
      </c>
      <c r="C543" s="24" t="s">
        <v>114</v>
      </c>
      <c r="D543" s="54" t="s">
        <v>540</v>
      </c>
      <c r="E543" s="24" t="s">
        <v>513</v>
      </c>
      <c r="F543" s="216">
        <f t="shared" si="48"/>
        <v>33900</v>
      </c>
      <c r="G543" s="209"/>
      <c r="H543" s="209">
        <f>45000-11100</f>
        <v>33900</v>
      </c>
      <c r="I543" s="217">
        <v>33839.00146</v>
      </c>
      <c r="J543" s="148">
        <f t="shared" si="46"/>
        <v>99.8200633038348</v>
      </c>
      <c r="L543" s="119">
        <f t="shared" si="44"/>
        <v>99.8200633038348</v>
      </c>
    </row>
    <row r="544" spans="1:12" ht="31.5">
      <c r="A544" s="44" t="s">
        <v>535</v>
      </c>
      <c r="B544" s="24" t="s">
        <v>130</v>
      </c>
      <c r="C544" s="24" t="s">
        <v>114</v>
      </c>
      <c r="D544" s="54" t="s">
        <v>540</v>
      </c>
      <c r="E544" s="24" t="s">
        <v>175</v>
      </c>
      <c r="F544" s="216">
        <f t="shared" si="48"/>
        <v>3033.69222</v>
      </c>
      <c r="G544" s="209"/>
      <c r="H544" s="209">
        <f>H545</f>
        <v>3033.69222</v>
      </c>
      <c r="I544" s="217">
        <f>I545</f>
        <v>3033.69222</v>
      </c>
      <c r="J544" s="148">
        <f t="shared" si="46"/>
        <v>100</v>
      </c>
      <c r="L544" s="119">
        <f t="shared" si="44"/>
        <v>100</v>
      </c>
    </row>
    <row r="545" spans="1:12" ht="15.75">
      <c r="A545" s="44" t="s">
        <v>142</v>
      </c>
      <c r="B545" s="24" t="s">
        <v>130</v>
      </c>
      <c r="C545" s="24" t="s">
        <v>114</v>
      </c>
      <c r="D545" s="54" t="s">
        <v>540</v>
      </c>
      <c r="E545" s="24" t="s">
        <v>240</v>
      </c>
      <c r="F545" s="216">
        <f t="shared" si="48"/>
        <v>3033.69222</v>
      </c>
      <c r="G545" s="209"/>
      <c r="H545" s="209">
        <f>358.2+2978.433-302.94078</f>
        <v>3033.69222</v>
      </c>
      <c r="I545" s="217">
        <v>3033.69222</v>
      </c>
      <c r="J545" s="148">
        <f t="shared" si="46"/>
        <v>100</v>
      </c>
      <c r="L545" s="119">
        <f t="shared" si="44"/>
        <v>100</v>
      </c>
    </row>
    <row r="546" spans="1:12" ht="78.75">
      <c r="A546" s="62" t="s">
        <v>649</v>
      </c>
      <c r="B546" s="45" t="s">
        <v>130</v>
      </c>
      <c r="C546" s="45" t="s">
        <v>114</v>
      </c>
      <c r="D546" s="80" t="s">
        <v>539</v>
      </c>
      <c r="E546" s="45" t="s">
        <v>347</v>
      </c>
      <c r="F546" s="218">
        <f>F549+F552</f>
        <v>357.79013000000003</v>
      </c>
      <c r="G546" s="218">
        <f>G549+G552</f>
        <v>357.79013000000003</v>
      </c>
      <c r="H546" s="218">
        <f>H549+H552</f>
        <v>0</v>
      </c>
      <c r="I546" s="218">
        <f>I549+I552</f>
        <v>357.05278000000004</v>
      </c>
      <c r="J546" s="242">
        <f t="shared" si="46"/>
        <v>99.79391550012852</v>
      </c>
      <c r="L546" s="119">
        <f t="shared" si="44"/>
        <v>99.79391550012852</v>
      </c>
    </row>
    <row r="547" spans="1:12" ht="31.5" hidden="1">
      <c r="A547" s="44" t="s">
        <v>151</v>
      </c>
      <c r="B547" s="24" t="s">
        <v>130</v>
      </c>
      <c r="C547" s="24" t="s">
        <v>114</v>
      </c>
      <c r="D547" s="54" t="s">
        <v>539</v>
      </c>
      <c r="E547" s="24" t="s">
        <v>121</v>
      </c>
      <c r="F547" s="216">
        <f aca="true" t="shared" si="49" ref="F547:F552">G547</f>
        <v>0</v>
      </c>
      <c r="G547" s="209">
        <f>G548</f>
        <v>0</v>
      </c>
      <c r="H547" s="209"/>
      <c r="I547" s="217">
        <v>0</v>
      </c>
      <c r="J547" s="148" t="e">
        <f t="shared" si="46"/>
        <v>#DIV/0!</v>
      </c>
      <c r="L547" s="119" t="e">
        <f t="shared" si="44"/>
        <v>#DIV/0!</v>
      </c>
    </row>
    <row r="548" spans="1:12" ht="47.25" hidden="1">
      <c r="A548" s="74" t="s">
        <v>648</v>
      </c>
      <c r="B548" s="24" t="s">
        <v>130</v>
      </c>
      <c r="C548" s="24" t="s">
        <v>114</v>
      </c>
      <c r="D548" s="54" t="s">
        <v>539</v>
      </c>
      <c r="E548" s="24" t="s">
        <v>153</v>
      </c>
      <c r="F548" s="216">
        <f t="shared" si="49"/>
        <v>0</v>
      </c>
      <c r="G548" s="209">
        <v>0</v>
      </c>
      <c r="H548" s="209"/>
      <c r="I548" s="217">
        <v>0</v>
      </c>
      <c r="J548" s="148" t="e">
        <f t="shared" si="46"/>
        <v>#DIV/0!</v>
      </c>
      <c r="L548" s="119" t="e">
        <f t="shared" si="44"/>
        <v>#DIV/0!</v>
      </c>
    </row>
    <row r="549" spans="1:12" ht="31.5">
      <c r="A549" s="74" t="s">
        <v>514</v>
      </c>
      <c r="B549" s="24" t="s">
        <v>130</v>
      </c>
      <c r="C549" s="24" t="s">
        <v>114</v>
      </c>
      <c r="D549" s="54" t="s">
        <v>539</v>
      </c>
      <c r="E549" s="24" t="s">
        <v>512</v>
      </c>
      <c r="F549" s="216">
        <f t="shared" si="49"/>
        <v>342.54545</v>
      </c>
      <c r="G549" s="209">
        <f>G550</f>
        <v>342.54545</v>
      </c>
      <c r="H549" s="209"/>
      <c r="I549" s="217">
        <f>I550</f>
        <v>341.8081</v>
      </c>
      <c r="J549" s="148">
        <f t="shared" si="46"/>
        <v>99.78474389310966</v>
      </c>
      <c r="L549" s="119">
        <f t="shared" si="44"/>
        <v>99.78474389310966</v>
      </c>
    </row>
    <row r="550" spans="1:12" ht="15.75">
      <c r="A550" s="74" t="s">
        <v>515</v>
      </c>
      <c r="B550" s="24" t="s">
        <v>130</v>
      </c>
      <c r="C550" s="24" t="s">
        <v>114</v>
      </c>
      <c r="D550" s="54" t="s">
        <v>539</v>
      </c>
      <c r="E550" s="24" t="s">
        <v>513</v>
      </c>
      <c r="F550" s="216">
        <f t="shared" si="49"/>
        <v>342.54545</v>
      </c>
      <c r="G550" s="209">
        <f>478.55295-7.2405-16.767-112</f>
        <v>342.54545</v>
      </c>
      <c r="H550" s="209"/>
      <c r="I550" s="217">
        <v>341.8081</v>
      </c>
      <c r="J550" s="148">
        <f t="shared" si="46"/>
        <v>99.78474389310966</v>
      </c>
      <c r="L550" s="119">
        <f t="shared" si="44"/>
        <v>99.78474389310966</v>
      </c>
    </row>
    <row r="551" spans="1:12" ht="31.5">
      <c r="A551" s="44" t="s">
        <v>535</v>
      </c>
      <c r="B551" s="24" t="s">
        <v>130</v>
      </c>
      <c r="C551" s="24" t="s">
        <v>114</v>
      </c>
      <c r="D551" s="54" t="s">
        <v>539</v>
      </c>
      <c r="E551" s="24" t="s">
        <v>175</v>
      </c>
      <c r="F551" s="216">
        <f t="shared" si="49"/>
        <v>15.244679999999999</v>
      </c>
      <c r="G551" s="209">
        <f>G552</f>
        <v>15.244679999999999</v>
      </c>
      <c r="H551" s="209"/>
      <c r="I551" s="217">
        <f>I552</f>
        <v>15.24468</v>
      </c>
      <c r="J551" s="148">
        <f t="shared" si="46"/>
        <v>100.00000000000003</v>
      </c>
      <c r="L551" s="119">
        <f t="shared" si="44"/>
        <v>100.00000000000003</v>
      </c>
    </row>
    <row r="552" spans="1:12" ht="15.75">
      <c r="A552" s="44" t="s">
        <v>142</v>
      </c>
      <c r="B552" s="24" t="s">
        <v>130</v>
      </c>
      <c r="C552" s="24" t="s">
        <v>114</v>
      </c>
      <c r="D552" s="54" t="s">
        <v>539</v>
      </c>
      <c r="E552" s="24" t="s">
        <v>240</v>
      </c>
      <c r="F552" s="216">
        <f t="shared" si="49"/>
        <v>15.244679999999999</v>
      </c>
      <c r="G552" s="209">
        <f>16.767-1.52232</f>
        <v>15.244679999999999</v>
      </c>
      <c r="H552" s="209"/>
      <c r="I552" s="217">
        <v>15.24468</v>
      </c>
      <c r="J552" s="148">
        <f t="shared" si="46"/>
        <v>100.00000000000003</v>
      </c>
      <c r="L552" s="119">
        <f t="shared" si="44"/>
        <v>100.00000000000003</v>
      </c>
    </row>
    <row r="553" spans="1:12" ht="47.25">
      <c r="A553" s="51" t="s">
        <v>650</v>
      </c>
      <c r="B553" s="45" t="s">
        <v>130</v>
      </c>
      <c r="C553" s="45" t="s">
        <v>114</v>
      </c>
      <c r="D553" s="80" t="s">
        <v>651</v>
      </c>
      <c r="E553" s="45" t="s">
        <v>347</v>
      </c>
      <c r="F553" s="218">
        <f>G553+H553</f>
        <v>513</v>
      </c>
      <c r="G553" s="219">
        <f>G554</f>
        <v>513</v>
      </c>
      <c r="H553" s="219"/>
      <c r="I553" s="219">
        <f>I554</f>
        <v>351.335</v>
      </c>
      <c r="J553" s="242">
        <f t="shared" si="46"/>
        <v>68.48635477582845</v>
      </c>
      <c r="L553" s="119">
        <f t="shared" si="44"/>
        <v>68.48635477582845</v>
      </c>
    </row>
    <row r="554" spans="1:12" ht="31.5">
      <c r="A554" s="44" t="s">
        <v>151</v>
      </c>
      <c r="B554" s="24" t="s">
        <v>130</v>
      </c>
      <c r="C554" s="24" t="s">
        <v>114</v>
      </c>
      <c r="D554" s="54" t="s">
        <v>651</v>
      </c>
      <c r="E554" s="24" t="s">
        <v>121</v>
      </c>
      <c r="F554" s="216">
        <f>G554+H554</f>
        <v>513</v>
      </c>
      <c r="G554" s="209">
        <f>G555</f>
        <v>513</v>
      </c>
      <c r="H554" s="209"/>
      <c r="I554" s="217">
        <f>I555</f>
        <v>351.335</v>
      </c>
      <c r="J554" s="148">
        <f t="shared" si="46"/>
        <v>68.48635477582845</v>
      </c>
      <c r="L554" s="119">
        <f t="shared" si="44"/>
        <v>68.48635477582845</v>
      </c>
    </row>
    <row r="555" spans="1:12" ht="31.5">
      <c r="A555" s="74" t="s">
        <v>152</v>
      </c>
      <c r="B555" s="24" t="s">
        <v>130</v>
      </c>
      <c r="C555" s="24" t="s">
        <v>114</v>
      </c>
      <c r="D555" s="54" t="s">
        <v>651</v>
      </c>
      <c r="E555" s="24" t="s">
        <v>153</v>
      </c>
      <c r="F555" s="216">
        <f>G555+H555</f>
        <v>513</v>
      </c>
      <c r="G555" s="209">
        <f>250-27+140+150</f>
        <v>513</v>
      </c>
      <c r="H555" s="209"/>
      <c r="I555" s="217">
        <v>351.335</v>
      </c>
      <c r="J555" s="148">
        <f t="shared" si="46"/>
        <v>68.48635477582845</v>
      </c>
      <c r="L555" s="119">
        <f t="shared" si="44"/>
        <v>68.48635477582845</v>
      </c>
    </row>
    <row r="556" spans="1:12" ht="31.5" hidden="1">
      <c r="A556" s="100" t="s">
        <v>652</v>
      </c>
      <c r="B556" s="31" t="s">
        <v>130</v>
      </c>
      <c r="C556" s="31" t="s">
        <v>114</v>
      </c>
      <c r="D556" s="92" t="s">
        <v>85</v>
      </c>
      <c r="E556" s="31" t="s">
        <v>347</v>
      </c>
      <c r="F556" s="214">
        <f aca="true" t="shared" si="50" ref="F556:F562">G556+H556</f>
        <v>0</v>
      </c>
      <c r="G556" s="226">
        <f>G557+G560</f>
        <v>0</v>
      </c>
      <c r="H556" s="226">
        <f>H557+H560</f>
        <v>0</v>
      </c>
      <c r="I556" s="228">
        <v>0</v>
      </c>
      <c r="J556" s="150" t="e">
        <f t="shared" si="46"/>
        <v>#DIV/0!</v>
      </c>
      <c r="L556" s="305" t="e">
        <f t="shared" si="44"/>
        <v>#DIV/0!</v>
      </c>
    </row>
    <row r="557" spans="1:12" ht="63" hidden="1">
      <c r="A557" s="62" t="s">
        <v>653</v>
      </c>
      <c r="B557" s="24" t="s">
        <v>130</v>
      </c>
      <c r="C557" s="24" t="s">
        <v>114</v>
      </c>
      <c r="D557" s="54" t="s">
        <v>654</v>
      </c>
      <c r="E557" s="24" t="s">
        <v>347</v>
      </c>
      <c r="F557" s="216">
        <f t="shared" si="50"/>
        <v>0</v>
      </c>
      <c r="G557" s="209"/>
      <c r="H557" s="209">
        <f>H558</f>
        <v>0</v>
      </c>
      <c r="I557" s="217">
        <v>0</v>
      </c>
      <c r="J557" s="148" t="e">
        <f t="shared" si="46"/>
        <v>#DIV/0!</v>
      </c>
      <c r="L557" s="305" t="e">
        <f aca="true" t="shared" si="51" ref="L557:L597">I557/F557*100</f>
        <v>#DIV/0!</v>
      </c>
    </row>
    <row r="558" spans="1:12" ht="31.5" hidden="1">
      <c r="A558" s="44" t="s">
        <v>535</v>
      </c>
      <c r="B558" s="24" t="s">
        <v>130</v>
      </c>
      <c r="C558" s="24" t="s">
        <v>114</v>
      </c>
      <c r="D558" s="54" t="s">
        <v>654</v>
      </c>
      <c r="E558" s="24" t="s">
        <v>175</v>
      </c>
      <c r="F558" s="216">
        <f t="shared" si="50"/>
        <v>0</v>
      </c>
      <c r="G558" s="209"/>
      <c r="H558" s="209">
        <f>H559</f>
        <v>0</v>
      </c>
      <c r="I558" s="217">
        <v>0</v>
      </c>
      <c r="J558" s="148" t="e">
        <f t="shared" si="46"/>
        <v>#DIV/0!</v>
      </c>
      <c r="L558" s="305" t="e">
        <f t="shared" si="51"/>
        <v>#DIV/0!</v>
      </c>
    </row>
    <row r="559" spans="1:12" ht="15.75" hidden="1">
      <c r="A559" s="44" t="s">
        <v>142</v>
      </c>
      <c r="B559" s="24" t="s">
        <v>130</v>
      </c>
      <c r="C559" s="24" t="s">
        <v>114</v>
      </c>
      <c r="D559" s="54" t="s">
        <v>654</v>
      </c>
      <c r="E559" s="24" t="s">
        <v>240</v>
      </c>
      <c r="F559" s="216">
        <f t="shared" si="50"/>
        <v>0</v>
      </c>
      <c r="G559" s="209"/>
      <c r="H559" s="209">
        <f>156-156</f>
        <v>0</v>
      </c>
      <c r="I559" s="217">
        <v>0</v>
      </c>
      <c r="J559" s="148" t="e">
        <f t="shared" si="46"/>
        <v>#DIV/0!</v>
      </c>
      <c r="L559" s="305" t="e">
        <f t="shared" si="51"/>
        <v>#DIV/0!</v>
      </c>
    </row>
    <row r="560" spans="1:12" ht="78.75" hidden="1">
      <c r="A560" s="62" t="s">
        <v>655</v>
      </c>
      <c r="B560" s="24" t="s">
        <v>130</v>
      </c>
      <c r="C560" s="24" t="s">
        <v>114</v>
      </c>
      <c r="D560" s="54" t="s">
        <v>656</v>
      </c>
      <c r="E560" s="24" t="s">
        <v>347</v>
      </c>
      <c r="F560" s="216">
        <f t="shared" si="50"/>
        <v>0</v>
      </c>
      <c r="G560" s="209">
        <f>G561</f>
        <v>0</v>
      </c>
      <c r="H560" s="209"/>
      <c r="I560" s="217">
        <v>0</v>
      </c>
      <c r="J560" s="148" t="e">
        <f t="shared" si="46"/>
        <v>#DIV/0!</v>
      </c>
      <c r="L560" s="119" t="e">
        <f t="shared" si="51"/>
        <v>#DIV/0!</v>
      </c>
    </row>
    <row r="561" spans="1:12" ht="31.5" hidden="1">
      <c r="A561" s="44" t="s">
        <v>535</v>
      </c>
      <c r="B561" s="24" t="s">
        <v>130</v>
      </c>
      <c r="C561" s="24" t="s">
        <v>114</v>
      </c>
      <c r="D561" s="54" t="s">
        <v>656</v>
      </c>
      <c r="E561" s="24" t="s">
        <v>175</v>
      </c>
      <c r="F561" s="216">
        <f t="shared" si="50"/>
        <v>0</v>
      </c>
      <c r="G561" s="209">
        <f>G562</f>
        <v>0</v>
      </c>
      <c r="H561" s="209"/>
      <c r="I561" s="217">
        <v>0</v>
      </c>
      <c r="J561" s="148" t="e">
        <f t="shared" si="46"/>
        <v>#DIV/0!</v>
      </c>
      <c r="L561" s="119" t="e">
        <f t="shared" si="51"/>
        <v>#DIV/0!</v>
      </c>
    </row>
    <row r="562" spans="1:12" ht="15.75" hidden="1">
      <c r="A562" s="44" t="s">
        <v>142</v>
      </c>
      <c r="B562" s="24" t="s">
        <v>130</v>
      </c>
      <c r="C562" s="24" t="s">
        <v>114</v>
      </c>
      <c r="D562" s="54" t="s">
        <v>656</v>
      </c>
      <c r="E562" s="24" t="s">
        <v>240</v>
      </c>
      <c r="F562" s="216">
        <f t="shared" si="50"/>
        <v>0</v>
      </c>
      <c r="G562" s="209">
        <f>1.57576-1.57576</f>
        <v>0</v>
      </c>
      <c r="H562" s="209"/>
      <c r="I562" s="217">
        <v>0</v>
      </c>
      <c r="J562" s="148" t="e">
        <f t="shared" si="46"/>
        <v>#DIV/0!</v>
      </c>
      <c r="L562" s="119" t="e">
        <f t="shared" si="51"/>
        <v>#DIV/0!</v>
      </c>
    </row>
    <row r="563" spans="1:12" ht="75.75" customHeight="1">
      <c r="A563" s="100" t="s">
        <v>657</v>
      </c>
      <c r="B563" s="31" t="s">
        <v>130</v>
      </c>
      <c r="C563" s="31" t="s">
        <v>114</v>
      </c>
      <c r="D563" s="92" t="s">
        <v>85</v>
      </c>
      <c r="E563" s="31" t="s">
        <v>347</v>
      </c>
      <c r="F563" s="214">
        <f>F564+F567</f>
        <v>968.32079</v>
      </c>
      <c r="G563" s="214">
        <f>G564+G567</f>
        <v>8.32079</v>
      </c>
      <c r="H563" s="214">
        <f>H564+H567</f>
        <v>960</v>
      </c>
      <c r="I563" s="214">
        <f>I564+I567</f>
        <v>832.079</v>
      </c>
      <c r="J563" s="260">
        <f t="shared" si="46"/>
        <v>85.93009760742615</v>
      </c>
      <c r="L563" s="124">
        <f t="shared" si="51"/>
        <v>85.93009760742615</v>
      </c>
    </row>
    <row r="564" spans="1:12" ht="78.75">
      <c r="A564" s="62" t="s">
        <v>658</v>
      </c>
      <c r="B564" s="45" t="s">
        <v>130</v>
      </c>
      <c r="C564" s="45" t="s">
        <v>114</v>
      </c>
      <c r="D564" s="80" t="s">
        <v>659</v>
      </c>
      <c r="E564" s="45" t="s">
        <v>347</v>
      </c>
      <c r="F564" s="218">
        <f aca="true" t="shared" si="52" ref="F564:F585">G564+H564</f>
        <v>960</v>
      </c>
      <c r="G564" s="219"/>
      <c r="H564" s="219">
        <f>H565</f>
        <v>960</v>
      </c>
      <c r="I564" s="219">
        <f>I565</f>
        <v>823.75821</v>
      </c>
      <c r="J564" s="242">
        <f t="shared" si="46"/>
        <v>85.80814687499999</v>
      </c>
      <c r="L564" s="119">
        <f t="shared" si="51"/>
        <v>85.80814687499999</v>
      </c>
    </row>
    <row r="565" spans="1:12" ht="31.5">
      <c r="A565" s="44" t="s">
        <v>151</v>
      </c>
      <c r="B565" s="24" t="s">
        <v>130</v>
      </c>
      <c r="C565" s="24" t="s">
        <v>114</v>
      </c>
      <c r="D565" s="54" t="s">
        <v>659</v>
      </c>
      <c r="E565" s="24" t="s">
        <v>121</v>
      </c>
      <c r="F565" s="216">
        <f t="shared" si="52"/>
        <v>960</v>
      </c>
      <c r="G565" s="209"/>
      <c r="H565" s="209">
        <f>H566</f>
        <v>960</v>
      </c>
      <c r="I565" s="209">
        <f>I566</f>
        <v>823.75821</v>
      </c>
      <c r="J565" s="241">
        <f t="shared" si="46"/>
        <v>85.80814687499999</v>
      </c>
      <c r="L565" s="119">
        <f t="shared" si="51"/>
        <v>85.80814687499999</v>
      </c>
    </row>
    <row r="566" spans="1:12" ht="31.5">
      <c r="A566" s="74" t="s">
        <v>152</v>
      </c>
      <c r="B566" s="24" t="s">
        <v>130</v>
      </c>
      <c r="C566" s="24" t="s">
        <v>114</v>
      </c>
      <c r="D566" s="54" t="s">
        <v>659</v>
      </c>
      <c r="E566" s="24" t="s">
        <v>153</v>
      </c>
      <c r="F566" s="216">
        <f t="shared" si="52"/>
        <v>960</v>
      </c>
      <c r="G566" s="209"/>
      <c r="H566" s="209">
        <v>960</v>
      </c>
      <c r="I566" s="209">
        <v>823.75821</v>
      </c>
      <c r="J566" s="241">
        <f t="shared" si="46"/>
        <v>85.80814687499999</v>
      </c>
      <c r="L566" s="119">
        <f t="shared" si="51"/>
        <v>85.80814687499999</v>
      </c>
    </row>
    <row r="567" spans="1:12" ht="105" customHeight="1">
      <c r="A567" s="51" t="s">
        <v>660</v>
      </c>
      <c r="B567" s="45" t="s">
        <v>130</v>
      </c>
      <c r="C567" s="45" t="s">
        <v>114</v>
      </c>
      <c r="D567" s="80" t="s">
        <v>661</v>
      </c>
      <c r="E567" s="45" t="s">
        <v>347</v>
      </c>
      <c r="F567" s="218">
        <f t="shared" si="52"/>
        <v>8.32079</v>
      </c>
      <c r="G567" s="219">
        <f>G568</f>
        <v>8.32079</v>
      </c>
      <c r="H567" s="219"/>
      <c r="I567" s="219">
        <f>I568</f>
        <v>8.32079</v>
      </c>
      <c r="J567" s="242">
        <f t="shared" si="46"/>
        <v>100</v>
      </c>
      <c r="L567" s="119">
        <f t="shared" si="51"/>
        <v>100</v>
      </c>
    </row>
    <row r="568" spans="1:12" ht="31.5">
      <c r="A568" s="44" t="s">
        <v>151</v>
      </c>
      <c r="B568" s="24" t="s">
        <v>130</v>
      </c>
      <c r="C568" s="24" t="s">
        <v>114</v>
      </c>
      <c r="D568" s="54" t="s">
        <v>661</v>
      </c>
      <c r="E568" s="24" t="s">
        <v>121</v>
      </c>
      <c r="F568" s="216">
        <f t="shared" si="52"/>
        <v>8.32079</v>
      </c>
      <c r="G568" s="209">
        <f>G569</f>
        <v>8.32079</v>
      </c>
      <c r="H568" s="209"/>
      <c r="I568" s="217">
        <f>I569</f>
        <v>8.32079</v>
      </c>
      <c r="J568" s="148">
        <f t="shared" si="46"/>
        <v>100</v>
      </c>
      <c r="L568" s="119">
        <f t="shared" si="51"/>
        <v>100</v>
      </c>
    </row>
    <row r="569" spans="1:12" ht="35.25" customHeight="1">
      <c r="A569" s="74" t="s">
        <v>152</v>
      </c>
      <c r="B569" s="24" t="s">
        <v>130</v>
      </c>
      <c r="C569" s="24" t="s">
        <v>114</v>
      </c>
      <c r="D569" s="54" t="s">
        <v>661</v>
      </c>
      <c r="E569" s="24" t="s">
        <v>153</v>
      </c>
      <c r="F569" s="216">
        <f t="shared" si="52"/>
        <v>8.32079</v>
      </c>
      <c r="G569" s="209">
        <f>9.69697-1.37618</f>
        <v>8.32079</v>
      </c>
      <c r="H569" s="209"/>
      <c r="I569" s="217">
        <v>8.32079</v>
      </c>
      <c r="J569" s="148">
        <f t="shared" si="46"/>
        <v>100</v>
      </c>
      <c r="L569" s="119">
        <f t="shared" si="51"/>
        <v>100</v>
      </c>
    </row>
    <row r="570" spans="1:12" ht="31.5">
      <c r="A570" s="287" t="s">
        <v>186</v>
      </c>
      <c r="B570" s="288" t="s">
        <v>132</v>
      </c>
      <c r="C570" s="288" t="s">
        <v>113</v>
      </c>
      <c r="D570" s="302" t="s">
        <v>262</v>
      </c>
      <c r="E570" s="288" t="s">
        <v>347</v>
      </c>
      <c r="F570" s="289">
        <f t="shared" si="52"/>
        <v>1200</v>
      </c>
      <c r="G570" s="307">
        <f>G571</f>
        <v>1200</v>
      </c>
      <c r="H570" s="307">
        <f>H571</f>
        <v>0</v>
      </c>
      <c r="I570" s="307">
        <v>1120.84884</v>
      </c>
      <c r="J570" s="290">
        <f t="shared" si="46"/>
        <v>93.40407</v>
      </c>
      <c r="K570" s="309"/>
      <c r="L570" s="269">
        <f t="shared" si="51"/>
        <v>93.40407</v>
      </c>
    </row>
    <row r="571" spans="1:12" ht="31.5">
      <c r="A571" s="44" t="s">
        <v>353</v>
      </c>
      <c r="B571" s="24" t="s">
        <v>132</v>
      </c>
      <c r="C571" s="24" t="s">
        <v>112</v>
      </c>
      <c r="D571" s="54" t="s">
        <v>262</v>
      </c>
      <c r="E571" s="24" t="s">
        <v>347</v>
      </c>
      <c r="F571" s="216">
        <f t="shared" si="52"/>
        <v>1200</v>
      </c>
      <c r="G571" s="209">
        <f>G572</f>
        <v>1200</v>
      </c>
      <c r="H571" s="209">
        <f>H573</f>
        <v>0</v>
      </c>
      <c r="I571" s="217">
        <v>1120.84884</v>
      </c>
      <c r="J571" s="148">
        <f t="shared" si="46"/>
        <v>93.40407</v>
      </c>
      <c r="L571" s="119">
        <f t="shared" si="51"/>
        <v>93.40407</v>
      </c>
    </row>
    <row r="572" spans="1:12" ht="63">
      <c r="A572" s="51" t="s">
        <v>465</v>
      </c>
      <c r="B572" s="45" t="s">
        <v>132</v>
      </c>
      <c r="C572" s="45" t="s">
        <v>112</v>
      </c>
      <c r="D572" s="80" t="s">
        <v>454</v>
      </c>
      <c r="E572" s="45" t="s">
        <v>347</v>
      </c>
      <c r="F572" s="218">
        <f t="shared" si="52"/>
        <v>1200</v>
      </c>
      <c r="G572" s="219">
        <f>G573</f>
        <v>1200</v>
      </c>
      <c r="H572" s="219">
        <v>0</v>
      </c>
      <c r="I572" s="220">
        <v>1120.84884</v>
      </c>
      <c r="J572" s="149">
        <f t="shared" si="46"/>
        <v>93.40407</v>
      </c>
      <c r="L572" s="119">
        <f t="shared" si="51"/>
        <v>93.40407</v>
      </c>
    </row>
    <row r="573" spans="1:12" ht="15.75">
      <c r="A573" s="44" t="s">
        <v>293</v>
      </c>
      <c r="B573" s="24" t="s">
        <v>132</v>
      </c>
      <c r="C573" s="24" t="s">
        <v>112</v>
      </c>
      <c r="D573" s="54" t="s">
        <v>449</v>
      </c>
      <c r="E573" s="24" t="s">
        <v>347</v>
      </c>
      <c r="F573" s="216">
        <f t="shared" si="52"/>
        <v>1200</v>
      </c>
      <c r="G573" s="209">
        <f>G574</f>
        <v>1200</v>
      </c>
      <c r="H573" s="209">
        <f>H574</f>
        <v>0</v>
      </c>
      <c r="I573" s="217">
        <v>1120.84884</v>
      </c>
      <c r="J573" s="148">
        <f t="shared" si="46"/>
        <v>93.40407</v>
      </c>
      <c r="L573" s="119">
        <f t="shared" si="51"/>
        <v>93.40407</v>
      </c>
    </row>
    <row r="574" spans="1:12" ht="15.75">
      <c r="A574" s="44" t="s">
        <v>457</v>
      </c>
      <c r="B574" s="24" t="s">
        <v>132</v>
      </c>
      <c r="C574" s="24" t="s">
        <v>112</v>
      </c>
      <c r="D574" s="54" t="s">
        <v>449</v>
      </c>
      <c r="E574" s="24" t="s">
        <v>347</v>
      </c>
      <c r="F574" s="216">
        <f t="shared" si="52"/>
        <v>1200</v>
      </c>
      <c r="G574" s="209">
        <f>G575</f>
        <v>1200</v>
      </c>
      <c r="H574" s="209">
        <f>H576</f>
        <v>0</v>
      </c>
      <c r="I574" s="217">
        <v>1120.84884</v>
      </c>
      <c r="J574" s="148">
        <f t="shared" si="46"/>
        <v>93.40407</v>
      </c>
      <c r="L574" s="119">
        <f t="shared" si="51"/>
        <v>93.40407</v>
      </c>
    </row>
    <row r="575" spans="1:12" ht="31.5">
      <c r="A575" s="44" t="s">
        <v>170</v>
      </c>
      <c r="B575" s="24" t="s">
        <v>132</v>
      </c>
      <c r="C575" s="24" t="s">
        <v>112</v>
      </c>
      <c r="D575" s="54" t="s">
        <v>449</v>
      </c>
      <c r="E575" s="24" t="s">
        <v>171</v>
      </c>
      <c r="F575" s="216">
        <f t="shared" si="52"/>
        <v>1200</v>
      </c>
      <c r="G575" s="209">
        <f>G576</f>
        <v>1200</v>
      </c>
      <c r="H575" s="209"/>
      <c r="I575" s="217">
        <v>1120.84884</v>
      </c>
      <c r="J575" s="148">
        <f t="shared" si="46"/>
        <v>93.40407</v>
      </c>
      <c r="L575" s="119">
        <f t="shared" si="51"/>
        <v>93.40407</v>
      </c>
    </row>
    <row r="576" spans="1:12" ht="15.75">
      <c r="A576" s="44" t="s">
        <v>188</v>
      </c>
      <c r="B576" s="24" t="s">
        <v>132</v>
      </c>
      <c r="C576" s="24" t="s">
        <v>112</v>
      </c>
      <c r="D576" s="54" t="s">
        <v>449</v>
      </c>
      <c r="E576" s="24" t="s">
        <v>273</v>
      </c>
      <c r="F576" s="216">
        <f t="shared" si="52"/>
        <v>1200</v>
      </c>
      <c r="G576" s="209">
        <f>1300-80-20</f>
        <v>1200</v>
      </c>
      <c r="H576" s="209"/>
      <c r="I576" s="217">
        <v>1120.84884</v>
      </c>
      <c r="J576" s="148">
        <f t="shared" si="46"/>
        <v>93.40407</v>
      </c>
      <c r="L576" s="119">
        <f t="shared" si="51"/>
        <v>93.40407</v>
      </c>
    </row>
    <row r="577" spans="1:12" ht="85.5" customHeight="1">
      <c r="A577" s="287" t="s">
        <v>189</v>
      </c>
      <c r="B577" s="288" t="s">
        <v>190</v>
      </c>
      <c r="C577" s="288" t="s">
        <v>113</v>
      </c>
      <c r="D577" s="302" t="s">
        <v>262</v>
      </c>
      <c r="E577" s="288" t="s">
        <v>347</v>
      </c>
      <c r="F577" s="289">
        <f>F579+F588</f>
        <v>20941.29955</v>
      </c>
      <c r="G577" s="289">
        <f>G579+G588</f>
        <v>9439.365549999999</v>
      </c>
      <c r="H577" s="289">
        <f>H579+H588</f>
        <v>11501.934</v>
      </c>
      <c r="I577" s="289">
        <f>I579+I588</f>
        <v>20941.29955</v>
      </c>
      <c r="J577" s="290">
        <f t="shared" si="46"/>
        <v>100</v>
      </c>
      <c r="K577" s="309"/>
      <c r="L577" s="269">
        <f t="shared" si="51"/>
        <v>100</v>
      </c>
    </row>
    <row r="578" spans="1:12" ht="63">
      <c r="A578" s="56" t="s">
        <v>465</v>
      </c>
      <c r="B578" s="101" t="s">
        <v>190</v>
      </c>
      <c r="C578" s="101" t="s">
        <v>113</v>
      </c>
      <c r="D578" s="108" t="s">
        <v>454</v>
      </c>
      <c r="E578" s="101" t="s">
        <v>347</v>
      </c>
      <c r="F578" s="234">
        <f>F579+F588</f>
        <v>20941.29955</v>
      </c>
      <c r="G578" s="234">
        <f>G579+G588</f>
        <v>9439.365549999999</v>
      </c>
      <c r="H578" s="234">
        <f>H579+H588</f>
        <v>11501.934</v>
      </c>
      <c r="I578" s="234">
        <f>I579+I588</f>
        <v>20941.29955</v>
      </c>
      <c r="J578" s="151">
        <f t="shared" si="46"/>
        <v>100</v>
      </c>
      <c r="L578" s="119">
        <f t="shared" si="51"/>
        <v>100</v>
      </c>
    </row>
    <row r="579" spans="1:12" ht="47.25">
      <c r="A579" s="264" t="s">
        <v>191</v>
      </c>
      <c r="B579" s="265" t="s">
        <v>190</v>
      </c>
      <c r="C579" s="265" t="s">
        <v>112</v>
      </c>
      <c r="D579" s="299" t="s">
        <v>454</v>
      </c>
      <c r="E579" s="265" t="s">
        <v>347</v>
      </c>
      <c r="F579" s="266">
        <f>F580+F584</f>
        <v>19877.351</v>
      </c>
      <c r="G579" s="266">
        <f>G580+G584</f>
        <v>8375.417</v>
      </c>
      <c r="H579" s="266">
        <f>H580+H584</f>
        <v>11501.934</v>
      </c>
      <c r="I579" s="266">
        <f>I580+I584</f>
        <v>19877.351</v>
      </c>
      <c r="J579" s="268">
        <f t="shared" si="46"/>
        <v>100</v>
      </c>
      <c r="K579" s="309"/>
      <c r="L579" s="275">
        <f t="shared" si="51"/>
        <v>100</v>
      </c>
    </row>
    <row r="580" spans="1:12" ht="47.25">
      <c r="A580" s="51" t="s">
        <v>192</v>
      </c>
      <c r="B580" s="45" t="s">
        <v>190</v>
      </c>
      <c r="C580" s="45" t="s">
        <v>112</v>
      </c>
      <c r="D580" s="80" t="s">
        <v>446</v>
      </c>
      <c r="E580" s="45" t="s">
        <v>347</v>
      </c>
      <c r="F580" s="218">
        <f t="shared" si="52"/>
        <v>11501.934</v>
      </c>
      <c r="G580" s="219">
        <f>G581</f>
        <v>0</v>
      </c>
      <c r="H580" s="219">
        <f>H581</f>
        <v>11501.934</v>
      </c>
      <c r="I580" s="219">
        <f>I581</f>
        <v>11501.934</v>
      </c>
      <c r="J580" s="242">
        <f t="shared" si="46"/>
        <v>100</v>
      </c>
      <c r="L580" s="119">
        <f t="shared" si="51"/>
        <v>100</v>
      </c>
    </row>
    <row r="581" spans="1:12" ht="15.75">
      <c r="A581" s="44" t="s">
        <v>162</v>
      </c>
      <c r="B581" s="24" t="s">
        <v>190</v>
      </c>
      <c r="C581" s="24" t="s">
        <v>112</v>
      </c>
      <c r="D581" s="54" t="s">
        <v>446</v>
      </c>
      <c r="E581" s="24" t="s">
        <v>347</v>
      </c>
      <c r="F581" s="216">
        <f t="shared" si="52"/>
        <v>11501.934</v>
      </c>
      <c r="G581" s="209">
        <f>G582</f>
        <v>0</v>
      </c>
      <c r="H581" s="209">
        <f>H582+H584</f>
        <v>11501.934</v>
      </c>
      <c r="I581" s="209">
        <f>I582</f>
        <v>11501.934</v>
      </c>
      <c r="J581" s="241">
        <f t="shared" si="46"/>
        <v>100</v>
      </c>
      <c r="L581" s="119">
        <f t="shared" si="51"/>
        <v>100</v>
      </c>
    </row>
    <row r="582" spans="1:12" ht="94.5">
      <c r="A582" s="44" t="s">
        <v>276</v>
      </c>
      <c r="B582" s="24" t="s">
        <v>190</v>
      </c>
      <c r="C582" s="24" t="s">
        <v>112</v>
      </c>
      <c r="D582" s="54" t="s">
        <v>446</v>
      </c>
      <c r="E582" s="24" t="s">
        <v>347</v>
      </c>
      <c r="F582" s="216">
        <f t="shared" si="52"/>
        <v>11501.934</v>
      </c>
      <c r="G582" s="209">
        <f>G583</f>
        <v>0</v>
      </c>
      <c r="H582" s="209">
        <f>H583</f>
        <v>11501.934</v>
      </c>
      <c r="I582" s="209">
        <f>I583</f>
        <v>11501.934</v>
      </c>
      <c r="J582" s="241">
        <f t="shared" si="46"/>
        <v>100</v>
      </c>
      <c r="L582" s="119">
        <f t="shared" si="51"/>
        <v>100</v>
      </c>
    </row>
    <row r="583" spans="1:12" ht="15.75">
      <c r="A583" s="44" t="s">
        <v>172</v>
      </c>
      <c r="B583" s="24" t="s">
        <v>190</v>
      </c>
      <c r="C583" s="24" t="s">
        <v>112</v>
      </c>
      <c r="D583" s="54" t="s">
        <v>446</v>
      </c>
      <c r="E583" s="24" t="s">
        <v>173</v>
      </c>
      <c r="F583" s="216">
        <f t="shared" si="52"/>
        <v>11501.934</v>
      </c>
      <c r="G583" s="209">
        <v>0</v>
      </c>
      <c r="H583" s="209">
        <f>11501.934</f>
        <v>11501.934</v>
      </c>
      <c r="I583" s="209">
        <v>11501.934</v>
      </c>
      <c r="J583" s="241">
        <f t="shared" si="46"/>
        <v>100</v>
      </c>
      <c r="L583" s="119">
        <f t="shared" si="51"/>
        <v>100</v>
      </c>
    </row>
    <row r="584" spans="1:12" ht="47.25">
      <c r="A584" s="51" t="s">
        <v>255</v>
      </c>
      <c r="B584" s="45" t="s">
        <v>190</v>
      </c>
      <c r="C584" s="45" t="s">
        <v>112</v>
      </c>
      <c r="D584" s="80" t="s">
        <v>447</v>
      </c>
      <c r="E584" s="45" t="s">
        <v>347</v>
      </c>
      <c r="F584" s="218">
        <f t="shared" si="52"/>
        <v>8375.417</v>
      </c>
      <c r="G584" s="219">
        <f>G585</f>
        <v>8375.417</v>
      </c>
      <c r="H584" s="219">
        <f>H585</f>
        <v>0</v>
      </c>
      <c r="I584" s="219">
        <f>I585</f>
        <v>8375.417</v>
      </c>
      <c r="J584" s="242">
        <f t="shared" si="46"/>
        <v>100</v>
      </c>
      <c r="L584" s="119">
        <f t="shared" si="51"/>
        <v>100</v>
      </c>
    </row>
    <row r="585" spans="1:12" ht="15.75">
      <c r="A585" s="44" t="s">
        <v>172</v>
      </c>
      <c r="B585" s="24" t="s">
        <v>190</v>
      </c>
      <c r="C585" s="24" t="s">
        <v>112</v>
      </c>
      <c r="D585" s="54" t="s">
        <v>447</v>
      </c>
      <c r="E585" s="24" t="s">
        <v>173</v>
      </c>
      <c r="F585" s="216">
        <f t="shared" si="52"/>
        <v>8375.417</v>
      </c>
      <c r="G585" s="209">
        <v>8375.417</v>
      </c>
      <c r="H585" s="209"/>
      <c r="I585" s="217">
        <v>8375.417</v>
      </c>
      <c r="J585" s="148">
        <f t="shared" si="46"/>
        <v>100</v>
      </c>
      <c r="L585" s="119">
        <f t="shared" si="51"/>
        <v>100</v>
      </c>
    </row>
    <row r="586" spans="1:12" ht="47.25" hidden="1">
      <c r="A586" s="44" t="s">
        <v>255</v>
      </c>
      <c r="B586" s="24" t="s">
        <v>190</v>
      </c>
      <c r="C586" s="24" t="s">
        <v>112</v>
      </c>
      <c r="D586" s="54" t="s">
        <v>17</v>
      </c>
      <c r="E586" s="24" t="s">
        <v>347</v>
      </c>
      <c r="F586" s="216">
        <f>G586</f>
        <v>0</v>
      </c>
      <c r="G586" s="209">
        <f>G587</f>
        <v>0</v>
      </c>
      <c r="H586" s="209">
        <f>H587</f>
        <v>0</v>
      </c>
      <c r="I586" s="217">
        <v>0</v>
      </c>
      <c r="J586" s="148" t="e">
        <f t="shared" si="46"/>
        <v>#DIV/0!</v>
      </c>
      <c r="L586" s="119" t="e">
        <f t="shared" si="51"/>
        <v>#DIV/0!</v>
      </c>
    </row>
    <row r="587" spans="1:12" ht="15.75" hidden="1">
      <c r="A587" s="44" t="s">
        <v>160</v>
      </c>
      <c r="B587" s="24" t="s">
        <v>190</v>
      </c>
      <c r="C587" s="24" t="s">
        <v>112</v>
      </c>
      <c r="D587" s="54" t="s">
        <v>17</v>
      </c>
      <c r="E587" s="24" t="s">
        <v>173</v>
      </c>
      <c r="F587" s="216">
        <f>G587</f>
        <v>0</v>
      </c>
      <c r="G587" s="209"/>
      <c r="H587" s="209"/>
      <c r="I587" s="217">
        <v>0</v>
      </c>
      <c r="J587" s="148" t="e">
        <f t="shared" si="46"/>
        <v>#DIV/0!</v>
      </c>
      <c r="L587" s="119" t="e">
        <f t="shared" si="51"/>
        <v>#DIV/0!</v>
      </c>
    </row>
    <row r="588" spans="1:12" ht="31.5">
      <c r="A588" s="270" t="s">
        <v>284</v>
      </c>
      <c r="B588" s="271" t="s">
        <v>190</v>
      </c>
      <c r="C588" s="271" t="s">
        <v>119</v>
      </c>
      <c r="D588" s="300" t="s">
        <v>454</v>
      </c>
      <c r="E588" s="271" t="s">
        <v>347</v>
      </c>
      <c r="F588" s="272">
        <f>F591+F595+F596</f>
        <v>1063.94855</v>
      </c>
      <c r="G588" s="272">
        <f>G591+G595+G596</f>
        <v>1063.94855</v>
      </c>
      <c r="H588" s="272">
        <f>H591+H595+H596</f>
        <v>0</v>
      </c>
      <c r="I588" s="272">
        <f>I591+I595+I596</f>
        <v>1063.94855</v>
      </c>
      <c r="J588" s="274">
        <f t="shared" si="46"/>
        <v>100</v>
      </c>
      <c r="K588" s="309"/>
      <c r="L588" s="275">
        <f t="shared" si="51"/>
        <v>100</v>
      </c>
    </row>
    <row r="589" spans="1:12" ht="31.5">
      <c r="A589" s="44" t="s">
        <v>391</v>
      </c>
      <c r="B589" s="24" t="s">
        <v>190</v>
      </c>
      <c r="C589" s="24" t="s">
        <v>119</v>
      </c>
      <c r="D589" s="54" t="s">
        <v>454</v>
      </c>
      <c r="E589" s="24" t="s">
        <v>347</v>
      </c>
      <c r="F589" s="216">
        <f>G589+H589</f>
        <v>1063.94855</v>
      </c>
      <c r="G589" s="209">
        <f>G590</f>
        <v>1063.94855</v>
      </c>
      <c r="H589" s="209">
        <f>H591</f>
        <v>0</v>
      </c>
      <c r="I589" s="217">
        <f>I590</f>
        <v>1063.94855</v>
      </c>
      <c r="J589" s="148">
        <f t="shared" si="46"/>
        <v>100</v>
      </c>
      <c r="L589" s="119">
        <f t="shared" si="51"/>
        <v>100</v>
      </c>
    </row>
    <row r="590" spans="1:12" ht="15.75">
      <c r="A590" s="44" t="s">
        <v>162</v>
      </c>
      <c r="B590" s="24" t="s">
        <v>190</v>
      </c>
      <c r="C590" s="24" t="s">
        <v>119</v>
      </c>
      <c r="D590" s="54" t="s">
        <v>454</v>
      </c>
      <c r="E590" s="24" t="s">
        <v>163</v>
      </c>
      <c r="F590" s="216">
        <f>F591+F595+F596</f>
        <v>1063.94855</v>
      </c>
      <c r="G590" s="216">
        <f>G591+G595+G596</f>
        <v>1063.94855</v>
      </c>
      <c r="H590" s="216">
        <f>H591+H595+H596</f>
        <v>0</v>
      </c>
      <c r="I590" s="216">
        <f>I591+I595+I596</f>
        <v>1063.94855</v>
      </c>
      <c r="J590" s="148">
        <f t="shared" si="46"/>
        <v>100</v>
      </c>
      <c r="L590" s="119">
        <f t="shared" si="51"/>
        <v>100</v>
      </c>
    </row>
    <row r="591" spans="1:12" ht="15.75">
      <c r="A591" s="44" t="s">
        <v>245</v>
      </c>
      <c r="B591" s="24" t="s">
        <v>190</v>
      </c>
      <c r="C591" s="24" t="s">
        <v>119</v>
      </c>
      <c r="D591" s="54" t="s">
        <v>448</v>
      </c>
      <c r="E591" s="24" t="s">
        <v>390</v>
      </c>
      <c r="F591" s="216">
        <f>G591+H591</f>
        <v>483.05930000000006</v>
      </c>
      <c r="G591" s="209">
        <f>849.75-318.3-48.3907</f>
        <v>483.05930000000006</v>
      </c>
      <c r="H591" s="209"/>
      <c r="I591" s="217">
        <v>483.0593</v>
      </c>
      <c r="J591" s="148">
        <f t="shared" si="46"/>
        <v>99.99999999999999</v>
      </c>
      <c r="L591" s="119">
        <f t="shared" si="51"/>
        <v>99.99999999999999</v>
      </c>
    </row>
    <row r="592" spans="1:12" ht="15.75" hidden="1">
      <c r="A592" s="44" t="s">
        <v>284</v>
      </c>
      <c r="B592" s="24" t="s">
        <v>190</v>
      </c>
      <c r="C592" s="24" t="s">
        <v>119</v>
      </c>
      <c r="D592" s="54" t="s">
        <v>448</v>
      </c>
      <c r="E592" s="24" t="s">
        <v>390</v>
      </c>
      <c r="F592" s="216">
        <f>G592</f>
        <v>0</v>
      </c>
      <c r="G592" s="209">
        <f>G593</f>
        <v>0</v>
      </c>
      <c r="H592" s="209"/>
      <c r="I592" s="217">
        <v>0</v>
      </c>
      <c r="J592" s="148" t="e">
        <f aca="true" t="shared" si="53" ref="J592:J597">I592/F592*100</f>
        <v>#DIV/0!</v>
      </c>
      <c r="L592" s="119" t="e">
        <f t="shared" si="51"/>
        <v>#DIV/0!</v>
      </c>
    </row>
    <row r="593" spans="1:12" ht="15.75" hidden="1">
      <c r="A593" s="44" t="s">
        <v>162</v>
      </c>
      <c r="B593" s="24" t="s">
        <v>190</v>
      </c>
      <c r="C593" s="24" t="s">
        <v>119</v>
      </c>
      <c r="D593" s="54" t="s">
        <v>448</v>
      </c>
      <c r="E593" s="24" t="s">
        <v>390</v>
      </c>
      <c r="F593" s="216">
        <f>G593</f>
        <v>0</v>
      </c>
      <c r="G593" s="209">
        <f>G594</f>
        <v>0</v>
      </c>
      <c r="H593" s="209"/>
      <c r="I593" s="217">
        <v>0</v>
      </c>
      <c r="J593" s="148" t="e">
        <f t="shared" si="53"/>
        <v>#DIV/0!</v>
      </c>
      <c r="L593" s="119" t="e">
        <f t="shared" si="51"/>
        <v>#DIV/0!</v>
      </c>
    </row>
    <row r="594" spans="1:12" ht="126" hidden="1">
      <c r="A594" s="44" t="s">
        <v>438</v>
      </c>
      <c r="B594" s="24" t="s">
        <v>190</v>
      </c>
      <c r="C594" s="24" t="s">
        <v>119</v>
      </c>
      <c r="D594" s="54" t="s">
        <v>448</v>
      </c>
      <c r="E594" s="24" t="s">
        <v>390</v>
      </c>
      <c r="F594" s="216">
        <f>G594</f>
        <v>0</v>
      </c>
      <c r="G594" s="209"/>
      <c r="H594" s="209"/>
      <c r="I594" s="217">
        <v>0</v>
      </c>
      <c r="J594" s="148" t="e">
        <f t="shared" si="53"/>
        <v>#DIV/0!</v>
      </c>
      <c r="L594" s="119" t="e">
        <f t="shared" si="51"/>
        <v>#DIV/0!</v>
      </c>
    </row>
    <row r="595" spans="1:12" ht="77.25" customHeight="1">
      <c r="A595" s="44" t="s">
        <v>662</v>
      </c>
      <c r="B595" s="24" t="s">
        <v>190</v>
      </c>
      <c r="C595" s="24" t="s">
        <v>119</v>
      </c>
      <c r="D595" s="54" t="s">
        <v>663</v>
      </c>
      <c r="E595" s="24" t="s">
        <v>390</v>
      </c>
      <c r="F595" s="216">
        <f>G595</f>
        <v>82.988</v>
      </c>
      <c r="G595" s="209">
        <f>116.13-33.142</f>
        <v>82.988</v>
      </c>
      <c r="H595" s="209"/>
      <c r="I595" s="217">
        <v>82.988</v>
      </c>
      <c r="J595" s="148">
        <f t="shared" si="53"/>
        <v>100</v>
      </c>
      <c r="L595" s="119">
        <f t="shared" si="51"/>
        <v>100</v>
      </c>
    </row>
    <row r="596" spans="1:12" ht="141.75">
      <c r="A596" s="44" t="s">
        <v>664</v>
      </c>
      <c r="B596" s="24" t="s">
        <v>190</v>
      </c>
      <c r="C596" s="24" t="s">
        <v>119</v>
      </c>
      <c r="D596" s="54" t="s">
        <v>665</v>
      </c>
      <c r="E596" s="24" t="s">
        <v>390</v>
      </c>
      <c r="F596" s="216">
        <f>G596</f>
        <v>497.90125</v>
      </c>
      <c r="G596" s="209">
        <f>497.90125</f>
        <v>497.90125</v>
      </c>
      <c r="H596" s="209"/>
      <c r="I596" s="217">
        <v>497.90125</v>
      </c>
      <c r="J596" s="148">
        <f t="shared" si="53"/>
        <v>100</v>
      </c>
      <c r="L596" s="119">
        <f t="shared" si="51"/>
        <v>100</v>
      </c>
    </row>
    <row r="597" spans="1:12" ht="15.75">
      <c r="A597" s="287" t="s">
        <v>196</v>
      </c>
      <c r="B597" s="341"/>
      <c r="C597" s="341"/>
      <c r="D597" s="342"/>
      <c r="E597" s="341"/>
      <c r="F597" s="289">
        <f>F17+F20+F33+F43+F46+F68+F74+F80+F200+F205+F250+F295+F439+F489+F532+F570+F577</f>
        <v>758159.2503300001</v>
      </c>
      <c r="G597" s="289">
        <f>G17+G20+G33+G43+G46+G68+G74+G80+G200+G205+G250+G295+G439+G489+G532+G570+G577</f>
        <v>414907.46899</v>
      </c>
      <c r="H597" s="289">
        <f>H17+H20+H33+H43+H46+H68+H74+H80+H200+H205+H250+H295+H439+H489+H532+H570+H577</f>
        <v>343126.78934</v>
      </c>
      <c r="I597" s="289">
        <f>I17+I20+I33+I43+I46+I68+I74+I80+I200+I205+I250+I295+I439+I489+I532+I570+I577</f>
        <v>693486.42815</v>
      </c>
      <c r="J597" s="290">
        <f t="shared" si="53"/>
        <v>91.46975755399012</v>
      </c>
      <c r="K597" s="309"/>
      <c r="L597" s="269">
        <f t="shared" si="51"/>
        <v>91.46975755399012</v>
      </c>
    </row>
  </sheetData>
  <sheetProtection/>
  <mergeCells count="20">
    <mergeCell ref="G10:H10"/>
    <mergeCell ref="A8:L8"/>
    <mergeCell ref="I10:I11"/>
    <mergeCell ref="J10:K10"/>
    <mergeCell ref="L10:L11"/>
    <mergeCell ref="A10:A11"/>
    <mergeCell ref="B10:B11"/>
    <mergeCell ref="C10:C11"/>
    <mergeCell ref="D10:D11"/>
    <mergeCell ref="E10:E11"/>
    <mergeCell ref="F10:F11"/>
    <mergeCell ref="I1:L1"/>
    <mergeCell ref="F2:L2"/>
    <mergeCell ref="I3:L3"/>
    <mergeCell ref="I4:L4"/>
    <mergeCell ref="A6:L6"/>
    <mergeCell ref="A7:L7"/>
    <mergeCell ref="F1:H1"/>
    <mergeCell ref="F3:H3"/>
    <mergeCell ref="F4:H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628"/>
  <sheetViews>
    <sheetView tabSelected="1" view="pageBreakPreview" zoomScale="89" zoomScaleSheetLayoutView="89" zoomScalePageLayoutView="0" workbookViewId="0" topLeftCell="A378">
      <selection activeCell="J6" sqref="J6"/>
    </sheetView>
  </sheetViews>
  <sheetFormatPr defaultColWidth="8.875" defaultRowHeight="12.75"/>
  <cols>
    <col min="1" max="1" width="43.125" style="5" customWidth="1"/>
    <col min="2" max="2" width="5.375" style="53" customWidth="1"/>
    <col min="3" max="3" width="4.625" style="53" customWidth="1"/>
    <col min="4" max="4" width="5.375" style="53" customWidth="1"/>
    <col min="5" max="5" width="13.875" style="41" customWidth="1"/>
    <col min="6" max="6" width="5.375" style="53" customWidth="1"/>
    <col min="7" max="7" width="17.625" style="53" customWidth="1"/>
    <col min="8" max="8" width="18.125" style="41" customWidth="1"/>
    <col min="9" max="9" width="16.875" style="332" customWidth="1"/>
    <col min="10" max="10" width="14.00390625" style="53" customWidth="1"/>
    <col min="11" max="11" width="10.625" style="53" bestFit="1" customWidth="1"/>
    <col min="12" max="12" width="12.125" style="53" bestFit="1" customWidth="1"/>
    <col min="13" max="13" width="12.875" style="53" bestFit="1" customWidth="1"/>
    <col min="14" max="16384" width="8.875" style="53" customWidth="1"/>
  </cols>
  <sheetData>
    <row r="1" spans="2:9" ht="15.75">
      <c r="B1" s="20"/>
      <c r="C1" s="20"/>
      <c r="D1" s="20"/>
      <c r="F1" s="20"/>
      <c r="G1" s="433" t="s">
        <v>546</v>
      </c>
      <c r="H1" s="433"/>
      <c r="I1" s="433"/>
    </row>
    <row r="2" spans="2:9" ht="15.75">
      <c r="B2" s="22"/>
      <c r="C2" s="22"/>
      <c r="D2" s="22"/>
      <c r="E2" s="295"/>
      <c r="F2" s="433" t="s">
        <v>343</v>
      </c>
      <c r="G2" s="433"/>
      <c r="H2" s="433"/>
      <c r="I2" s="433"/>
    </row>
    <row r="3" spans="2:9" ht="15.75">
      <c r="B3" s="433"/>
      <c r="C3" s="433"/>
      <c r="D3" s="433"/>
      <c r="E3" s="433"/>
      <c r="F3" s="433"/>
      <c r="G3" s="433" t="s">
        <v>344</v>
      </c>
      <c r="H3" s="433"/>
      <c r="I3" s="433"/>
    </row>
    <row r="4" spans="2:9" ht="15.75">
      <c r="B4" s="436"/>
      <c r="C4" s="436"/>
      <c r="D4" s="436"/>
      <c r="E4" s="436"/>
      <c r="F4" s="436"/>
      <c r="G4" s="436" t="s">
        <v>687</v>
      </c>
      <c r="H4" s="436"/>
      <c r="I4" s="436"/>
    </row>
    <row r="6" spans="1:9" ht="18.75">
      <c r="A6" s="437" t="s">
        <v>345</v>
      </c>
      <c r="B6" s="437"/>
      <c r="C6" s="437"/>
      <c r="D6" s="437"/>
      <c r="E6" s="437"/>
      <c r="F6" s="437"/>
      <c r="G6" s="437"/>
      <c r="H6" s="437"/>
      <c r="I6" s="437"/>
    </row>
    <row r="7" spans="1:9" ht="35.25" customHeight="1">
      <c r="A7" s="428" t="s">
        <v>666</v>
      </c>
      <c r="B7" s="428"/>
      <c r="C7" s="428"/>
      <c r="D7" s="428"/>
      <c r="E7" s="428"/>
      <c r="F7" s="428"/>
      <c r="G7" s="428"/>
      <c r="H7" s="428"/>
      <c r="I7" s="428"/>
    </row>
    <row r="9" spans="1:9" ht="15">
      <c r="A9" s="93"/>
      <c r="B9" s="41"/>
      <c r="C9" s="41"/>
      <c r="D9" s="41"/>
      <c r="F9" s="41"/>
      <c r="G9" s="41"/>
      <c r="I9" s="327" t="s">
        <v>102</v>
      </c>
    </row>
    <row r="10" spans="1:9" ht="15" customHeight="1">
      <c r="A10" s="429" t="s">
        <v>285</v>
      </c>
      <c r="B10" s="429" t="s">
        <v>286</v>
      </c>
      <c r="C10" s="431" t="s">
        <v>108</v>
      </c>
      <c r="D10" s="431" t="s">
        <v>109</v>
      </c>
      <c r="E10" s="429" t="s">
        <v>287</v>
      </c>
      <c r="F10" s="429" t="s">
        <v>288</v>
      </c>
      <c r="G10" s="429" t="s">
        <v>667</v>
      </c>
      <c r="H10" s="434" t="s">
        <v>681</v>
      </c>
      <c r="I10" s="435" t="s">
        <v>548</v>
      </c>
    </row>
    <row r="11" spans="1:9" ht="30.75" customHeight="1">
      <c r="A11" s="430"/>
      <c r="B11" s="430"/>
      <c r="C11" s="432"/>
      <c r="D11" s="432"/>
      <c r="E11" s="430"/>
      <c r="F11" s="430"/>
      <c r="G11" s="430"/>
      <c r="H11" s="434"/>
      <c r="I11" s="435"/>
    </row>
    <row r="12" spans="1:13" ht="30.75" customHeight="1">
      <c r="A12" s="373" t="s">
        <v>290</v>
      </c>
      <c r="B12" s="374">
        <v>951</v>
      </c>
      <c r="C12" s="374" t="s">
        <v>113</v>
      </c>
      <c r="D12" s="374" t="s">
        <v>113</v>
      </c>
      <c r="E12" s="374" t="s">
        <v>262</v>
      </c>
      <c r="F12" s="374" t="s">
        <v>347</v>
      </c>
      <c r="G12" s="375">
        <f>G13+G158+G163+G208+G253+G304+G351+G380+G407</f>
        <v>189407.39234999998</v>
      </c>
      <c r="H12" s="375">
        <f>H13+H158+H163+H208+H253+H304+H351+H380+H407</f>
        <v>164808.66183</v>
      </c>
      <c r="I12" s="376">
        <f>H12/G12*100</f>
        <v>87.01279278765173</v>
      </c>
      <c r="K12" s="343"/>
      <c r="M12" s="343"/>
    </row>
    <row r="13" spans="1:13" ht="18" customHeight="1">
      <c r="A13" s="370" t="s">
        <v>291</v>
      </c>
      <c r="B13" s="354">
        <v>951</v>
      </c>
      <c r="C13" s="354" t="s">
        <v>112</v>
      </c>
      <c r="D13" s="354" t="s">
        <v>113</v>
      </c>
      <c r="E13" s="354" t="s">
        <v>262</v>
      </c>
      <c r="F13" s="354" t="s">
        <v>347</v>
      </c>
      <c r="G13" s="338">
        <f>G14+G20+G34+G37+G43</f>
        <v>42895.02325</v>
      </c>
      <c r="H13" s="338">
        <f>H14+H20+H34+H37+H43</f>
        <v>32802.57249</v>
      </c>
      <c r="I13" s="336">
        <f>H13/G13*100</f>
        <v>76.47174428329515</v>
      </c>
      <c r="M13" s="343"/>
    </row>
    <row r="14" spans="1:9" ht="44.25" customHeight="1">
      <c r="A14" s="345" t="s">
        <v>292</v>
      </c>
      <c r="B14" s="32">
        <v>951</v>
      </c>
      <c r="C14" s="54" t="s">
        <v>112</v>
      </c>
      <c r="D14" s="54" t="s">
        <v>114</v>
      </c>
      <c r="E14" s="54" t="s">
        <v>262</v>
      </c>
      <c r="F14" s="54" t="s">
        <v>347</v>
      </c>
      <c r="G14" s="107">
        <f aca="true" t="shared" si="0" ref="G14:H18">G15</f>
        <v>1822.88</v>
      </c>
      <c r="H14" s="107">
        <f t="shared" si="0"/>
        <v>1710.8373</v>
      </c>
      <c r="I14" s="329">
        <f>H14/G14*100</f>
        <v>93.85353396822609</v>
      </c>
    </row>
    <row r="15" spans="1:9" ht="32.25" customHeight="1">
      <c r="A15" s="345" t="s">
        <v>115</v>
      </c>
      <c r="B15" s="32">
        <v>951</v>
      </c>
      <c r="C15" s="54" t="s">
        <v>112</v>
      </c>
      <c r="D15" s="54" t="s">
        <v>114</v>
      </c>
      <c r="E15" s="54" t="s">
        <v>7</v>
      </c>
      <c r="F15" s="54" t="s">
        <v>347</v>
      </c>
      <c r="G15" s="107">
        <f t="shared" si="0"/>
        <v>1822.88</v>
      </c>
      <c r="H15" s="107">
        <f t="shared" si="0"/>
        <v>1710.8373</v>
      </c>
      <c r="I15" s="329">
        <f aca="true" t="shared" si="1" ref="I15:I21">H15/G15*100</f>
        <v>93.85353396822609</v>
      </c>
    </row>
    <row r="16" spans="1:9" ht="45.75" customHeight="1">
      <c r="A16" s="345" t="s">
        <v>116</v>
      </c>
      <c r="B16" s="32">
        <v>951</v>
      </c>
      <c r="C16" s="54" t="s">
        <v>112</v>
      </c>
      <c r="D16" s="54" t="s">
        <v>114</v>
      </c>
      <c r="E16" s="54" t="s">
        <v>8</v>
      </c>
      <c r="F16" s="54" t="s">
        <v>347</v>
      </c>
      <c r="G16" s="107">
        <f t="shared" si="0"/>
        <v>1822.88</v>
      </c>
      <c r="H16" s="107">
        <f t="shared" si="0"/>
        <v>1710.8373</v>
      </c>
      <c r="I16" s="329">
        <f t="shared" si="1"/>
        <v>93.85353396822609</v>
      </c>
    </row>
    <row r="17" spans="1:9" ht="16.5" customHeight="1">
      <c r="A17" s="345" t="s">
        <v>352</v>
      </c>
      <c r="B17" s="32">
        <v>951</v>
      </c>
      <c r="C17" s="54" t="s">
        <v>112</v>
      </c>
      <c r="D17" s="54" t="s">
        <v>114</v>
      </c>
      <c r="E17" s="54" t="s">
        <v>9</v>
      </c>
      <c r="F17" s="54" t="s">
        <v>347</v>
      </c>
      <c r="G17" s="107">
        <f t="shared" si="0"/>
        <v>1822.88</v>
      </c>
      <c r="H17" s="107">
        <f t="shared" si="0"/>
        <v>1710.8373</v>
      </c>
      <c r="I17" s="329">
        <f t="shared" si="1"/>
        <v>93.85353396822609</v>
      </c>
    </row>
    <row r="18" spans="1:9" ht="97.5" customHeight="1">
      <c r="A18" s="29" t="s">
        <v>148</v>
      </c>
      <c r="B18" s="32">
        <v>951</v>
      </c>
      <c r="C18" s="54" t="s">
        <v>112</v>
      </c>
      <c r="D18" s="54" t="s">
        <v>114</v>
      </c>
      <c r="E18" s="54" t="s">
        <v>9</v>
      </c>
      <c r="F18" s="54" t="s">
        <v>117</v>
      </c>
      <c r="G18" s="107">
        <f t="shared" si="0"/>
        <v>1822.88</v>
      </c>
      <c r="H18" s="107">
        <f t="shared" si="0"/>
        <v>1710.8373</v>
      </c>
      <c r="I18" s="329">
        <f t="shared" si="1"/>
        <v>93.85353396822609</v>
      </c>
    </row>
    <row r="19" spans="1:9" ht="30" customHeight="1">
      <c r="A19" s="29" t="s">
        <v>150</v>
      </c>
      <c r="B19" s="32">
        <v>951</v>
      </c>
      <c r="C19" s="54" t="s">
        <v>112</v>
      </c>
      <c r="D19" s="54" t="s">
        <v>114</v>
      </c>
      <c r="E19" s="54" t="s">
        <v>9</v>
      </c>
      <c r="F19" s="54" t="s">
        <v>149</v>
      </c>
      <c r="G19" s="107">
        <v>1822.88</v>
      </c>
      <c r="H19" s="107">
        <v>1710.8373</v>
      </c>
      <c r="I19" s="329">
        <f t="shared" si="1"/>
        <v>93.85353396822609</v>
      </c>
    </row>
    <row r="20" spans="1:9" ht="75">
      <c r="A20" s="29" t="s">
        <v>277</v>
      </c>
      <c r="B20" s="32">
        <v>951</v>
      </c>
      <c r="C20" s="54" t="s">
        <v>112</v>
      </c>
      <c r="D20" s="54" t="s">
        <v>123</v>
      </c>
      <c r="E20" s="54" t="s">
        <v>262</v>
      </c>
      <c r="F20" s="54" t="s">
        <v>347</v>
      </c>
      <c r="G20" s="107">
        <f aca="true" t="shared" si="2" ref="G20:H22">G21</f>
        <v>17521.01</v>
      </c>
      <c r="H20" s="107">
        <f t="shared" si="2"/>
        <v>15000.8727</v>
      </c>
      <c r="I20" s="329">
        <f t="shared" si="1"/>
        <v>85.61648386708302</v>
      </c>
    </row>
    <row r="21" spans="1:9" ht="30">
      <c r="A21" s="29" t="s">
        <v>115</v>
      </c>
      <c r="B21" s="32">
        <v>951</v>
      </c>
      <c r="C21" s="54" t="s">
        <v>112</v>
      </c>
      <c r="D21" s="54" t="s">
        <v>123</v>
      </c>
      <c r="E21" s="54" t="s">
        <v>7</v>
      </c>
      <c r="F21" s="54" t="s">
        <v>347</v>
      </c>
      <c r="G21" s="107">
        <f t="shared" si="2"/>
        <v>17521.01</v>
      </c>
      <c r="H21" s="107">
        <f t="shared" si="2"/>
        <v>15000.8727</v>
      </c>
      <c r="I21" s="329">
        <f t="shared" si="1"/>
        <v>85.61648386708302</v>
      </c>
    </row>
    <row r="22" spans="1:9" ht="45" customHeight="1">
      <c r="A22" s="29" t="s">
        <v>116</v>
      </c>
      <c r="B22" s="32">
        <v>951</v>
      </c>
      <c r="C22" s="54" t="s">
        <v>112</v>
      </c>
      <c r="D22" s="54" t="s">
        <v>123</v>
      </c>
      <c r="E22" s="54" t="s">
        <v>8</v>
      </c>
      <c r="F22" s="54" t="s">
        <v>347</v>
      </c>
      <c r="G22" s="107">
        <f t="shared" si="2"/>
        <v>17521.01</v>
      </c>
      <c r="H22" s="107">
        <f t="shared" si="2"/>
        <v>15000.8727</v>
      </c>
      <c r="I22" s="329">
        <f>I23</f>
        <v>85.61648386708302</v>
      </c>
    </row>
    <row r="23" spans="1:9" ht="45" customHeight="1">
      <c r="A23" s="29" t="s">
        <v>120</v>
      </c>
      <c r="B23" s="32">
        <v>951</v>
      </c>
      <c r="C23" s="54" t="s">
        <v>112</v>
      </c>
      <c r="D23" s="54" t="s">
        <v>123</v>
      </c>
      <c r="E23" s="54" t="s">
        <v>11</v>
      </c>
      <c r="F23" s="54" t="s">
        <v>347</v>
      </c>
      <c r="G23" s="107">
        <f>G24+G26+G28</f>
        <v>17521.01</v>
      </c>
      <c r="H23" s="107">
        <f>H24+H26+H28</f>
        <v>15000.8727</v>
      </c>
      <c r="I23" s="329">
        <f>H23/G23*100</f>
        <v>85.61648386708302</v>
      </c>
    </row>
    <row r="24" spans="1:9" ht="90.75" customHeight="1">
      <c r="A24" s="29" t="s">
        <v>148</v>
      </c>
      <c r="B24" s="32">
        <v>951</v>
      </c>
      <c r="C24" s="54" t="s">
        <v>112</v>
      </c>
      <c r="D24" s="54" t="s">
        <v>123</v>
      </c>
      <c r="E24" s="54" t="s">
        <v>11</v>
      </c>
      <c r="F24" s="54" t="s">
        <v>117</v>
      </c>
      <c r="G24" s="107">
        <f>G25</f>
        <v>10556.96</v>
      </c>
      <c r="H24" s="107">
        <f>H25</f>
        <v>9438.3949</v>
      </c>
      <c r="I24" s="329">
        <f>H24/G24*100</f>
        <v>89.40447723587094</v>
      </c>
    </row>
    <row r="25" spans="1:9" ht="30.75" customHeight="1">
      <c r="A25" s="29" t="s">
        <v>150</v>
      </c>
      <c r="B25" s="32">
        <v>951</v>
      </c>
      <c r="C25" s="54" t="s">
        <v>112</v>
      </c>
      <c r="D25" s="54" t="s">
        <v>123</v>
      </c>
      <c r="E25" s="54" t="s">
        <v>11</v>
      </c>
      <c r="F25" s="54" t="s">
        <v>149</v>
      </c>
      <c r="G25" s="107">
        <v>10556.96</v>
      </c>
      <c r="H25" s="107">
        <v>9438.3949</v>
      </c>
      <c r="I25" s="329">
        <f aca="true" t="shared" si="3" ref="I25:I89">H25/G25*100</f>
        <v>89.40447723587094</v>
      </c>
    </row>
    <row r="26" spans="1:9" ht="30">
      <c r="A26" s="29" t="s">
        <v>151</v>
      </c>
      <c r="B26" s="32">
        <v>951</v>
      </c>
      <c r="C26" s="54" t="s">
        <v>112</v>
      </c>
      <c r="D26" s="54" t="s">
        <v>123</v>
      </c>
      <c r="E26" s="54" t="s">
        <v>11</v>
      </c>
      <c r="F26" s="54" t="s">
        <v>121</v>
      </c>
      <c r="G26" s="107">
        <v>6364.05</v>
      </c>
      <c r="H26" s="107">
        <f>H27</f>
        <v>5250.05458</v>
      </c>
      <c r="I26" s="329">
        <f t="shared" si="3"/>
        <v>82.49549547850819</v>
      </c>
    </row>
    <row r="27" spans="1:9" ht="45">
      <c r="A27" s="29" t="s">
        <v>152</v>
      </c>
      <c r="B27" s="32">
        <v>951</v>
      </c>
      <c r="C27" s="54" t="s">
        <v>112</v>
      </c>
      <c r="D27" s="54" t="s">
        <v>123</v>
      </c>
      <c r="E27" s="54" t="s">
        <v>11</v>
      </c>
      <c r="F27" s="54" t="s">
        <v>153</v>
      </c>
      <c r="G27" s="107">
        <v>6364.05</v>
      </c>
      <c r="H27" s="107">
        <v>5250.05458</v>
      </c>
      <c r="I27" s="329">
        <f t="shared" si="3"/>
        <v>82.49549547850819</v>
      </c>
    </row>
    <row r="28" spans="1:9" ht="15">
      <c r="A28" s="29" t="s">
        <v>156</v>
      </c>
      <c r="B28" s="32">
        <v>951</v>
      </c>
      <c r="C28" s="54" t="s">
        <v>112</v>
      </c>
      <c r="D28" s="54" t="s">
        <v>123</v>
      </c>
      <c r="E28" s="54" t="s">
        <v>11</v>
      </c>
      <c r="F28" s="54" t="s">
        <v>157</v>
      </c>
      <c r="G28" s="107">
        <f>G29</f>
        <v>600</v>
      </c>
      <c r="H28" s="107">
        <f>H29</f>
        <v>312.42322</v>
      </c>
      <c r="I28" s="329">
        <f t="shared" si="3"/>
        <v>52.07053666666667</v>
      </c>
    </row>
    <row r="29" spans="1:9" ht="15">
      <c r="A29" s="311" t="s">
        <v>154</v>
      </c>
      <c r="B29" s="32">
        <v>951</v>
      </c>
      <c r="C29" s="54" t="s">
        <v>112</v>
      </c>
      <c r="D29" s="54" t="s">
        <v>123</v>
      </c>
      <c r="E29" s="54" t="s">
        <v>11</v>
      </c>
      <c r="F29" s="54" t="s">
        <v>155</v>
      </c>
      <c r="G29" s="107">
        <v>600</v>
      </c>
      <c r="H29" s="107">
        <v>312.42322</v>
      </c>
      <c r="I29" s="329">
        <f t="shared" si="3"/>
        <v>52.07053666666667</v>
      </c>
    </row>
    <row r="30" spans="1:9" ht="15" hidden="1">
      <c r="A30" s="29" t="s">
        <v>129</v>
      </c>
      <c r="B30" s="32">
        <v>951</v>
      </c>
      <c r="C30" s="54" t="s">
        <v>112</v>
      </c>
      <c r="D30" s="54" t="s">
        <v>130</v>
      </c>
      <c r="E30" s="54" t="s">
        <v>262</v>
      </c>
      <c r="F30" s="54" t="s">
        <v>347</v>
      </c>
      <c r="G30" s="107" t="e">
        <f>H30+I30</f>
        <v>#DIV/0!</v>
      </c>
      <c r="H30" s="107">
        <f>H31</f>
        <v>0</v>
      </c>
      <c r="I30" s="329" t="e">
        <f t="shared" si="3"/>
        <v>#DIV/0!</v>
      </c>
    </row>
    <row r="31" spans="1:9" ht="30" hidden="1">
      <c r="A31" s="29" t="s">
        <v>131</v>
      </c>
      <c r="B31" s="32">
        <v>951</v>
      </c>
      <c r="C31" s="54" t="s">
        <v>112</v>
      </c>
      <c r="D31" s="54" t="s">
        <v>130</v>
      </c>
      <c r="E31" s="54" t="s">
        <v>275</v>
      </c>
      <c r="F31" s="54" t="s">
        <v>347</v>
      </c>
      <c r="G31" s="107">
        <f>H31+I31</f>
        <v>0</v>
      </c>
      <c r="H31" s="107">
        <f>H32</f>
        <v>0</v>
      </c>
      <c r="I31" s="329" t="e">
        <f t="shared" si="3"/>
        <v>#DIV/0!</v>
      </c>
    </row>
    <row r="32" spans="1:9" ht="15" hidden="1">
      <c r="A32" s="29" t="s">
        <v>156</v>
      </c>
      <c r="B32" s="32">
        <v>951</v>
      </c>
      <c r="C32" s="54" t="s">
        <v>112</v>
      </c>
      <c r="D32" s="54" t="s">
        <v>130</v>
      </c>
      <c r="E32" s="54" t="s">
        <v>275</v>
      </c>
      <c r="F32" s="54" t="s">
        <v>157</v>
      </c>
      <c r="G32" s="107" t="e">
        <f>H32+I32</f>
        <v>#DIV/0!</v>
      </c>
      <c r="H32" s="107">
        <f>H33</f>
        <v>0</v>
      </c>
      <c r="I32" s="329" t="e">
        <f t="shared" si="3"/>
        <v>#DIV/0!</v>
      </c>
    </row>
    <row r="33" spans="1:9" ht="15" hidden="1">
      <c r="A33" s="29" t="s">
        <v>158</v>
      </c>
      <c r="B33" s="32">
        <v>951</v>
      </c>
      <c r="C33" s="54" t="s">
        <v>112</v>
      </c>
      <c r="D33" s="54" t="s">
        <v>130</v>
      </c>
      <c r="E33" s="54" t="s">
        <v>275</v>
      </c>
      <c r="F33" s="54" t="s">
        <v>159</v>
      </c>
      <c r="G33" s="107">
        <f>H33+I33</f>
        <v>0</v>
      </c>
      <c r="H33" s="107">
        <v>0</v>
      </c>
      <c r="I33" s="329" t="e">
        <f t="shared" si="3"/>
        <v>#DIV/0!</v>
      </c>
    </row>
    <row r="34" spans="1:9" ht="42" customHeight="1">
      <c r="A34" s="311" t="s">
        <v>590</v>
      </c>
      <c r="B34" s="32" t="s">
        <v>143</v>
      </c>
      <c r="C34" s="54" t="s">
        <v>112</v>
      </c>
      <c r="D34" s="54" t="s">
        <v>326</v>
      </c>
      <c r="E34" s="54" t="s">
        <v>395</v>
      </c>
      <c r="F34" s="54" t="s">
        <v>347</v>
      </c>
      <c r="G34" s="312">
        <f>G35</f>
        <v>17.047</v>
      </c>
      <c r="H34" s="107">
        <f>H35</f>
        <v>17.047</v>
      </c>
      <c r="I34" s="329">
        <f>H34/G34*100</f>
        <v>100</v>
      </c>
    </row>
    <row r="35" spans="1:9" ht="30">
      <c r="A35" s="29" t="s">
        <v>151</v>
      </c>
      <c r="B35" s="32" t="s">
        <v>143</v>
      </c>
      <c r="C35" s="54" t="s">
        <v>112</v>
      </c>
      <c r="D35" s="54" t="s">
        <v>326</v>
      </c>
      <c r="E35" s="54" t="s">
        <v>395</v>
      </c>
      <c r="F35" s="54" t="s">
        <v>121</v>
      </c>
      <c r="G35" s="312">
        <f>G36</f>
        <v>17.047</v>
      </c>
      <c r="H35" s="107">
        <f>H36</f>
        <v>17.047</v>
      </c>
      <c r="I35" s="329">
        <f t="shared" si="3"/>
        <v>100</v>
      </c>
    </row>
    <row r="36" spans="1:9" ht="45">
      <c r="A36" s="29" t="s">
        <v>152</v>
      </c>
      <c r="B36" s="32" t="s">
        <v>143</v>
      </c>
      <c r="C36" s="54" t="s">
        <v>112</v>
      </c>
      <c r="D36" s="54" t="s">
        <v>326</v>
      </c>
      <c r="E36" s="54" t="s">
        <v>395</v>
      </c>
      <c r="F36" s="54" t="s">
        <v>153</v>
      </c>
      <c r="G36" s="312">
        <v>17.047</v>
      </c>
      <c r="H36" s="312">
        <v>17.047</v>
      </c>
      <c r="I36" s="329">
        <f t="shared" si="3"/>
        <v>100</v>
      </c>
    </row>
    <row r="37" spans="1:9" ht="15">
      <c r="A37" s="346" t="s">
        <v>129</v>
      </c>
      <c r="B37" s="347" t="s">
        <v>143</v>
      </c>
      <c r="C37" s="108" t="s">
        <v>112</v>
      </c>
      <c r="D37" s="108" t="s">
        <v>130</v>
      </c>
      <c r="E37" s="108" t="s">
        <v>262</v>
      </c>
      <c r="F37" s="108" t="s">
        <v>347</v>
      </c>
      <c r="G37" s="313">
        <f aca="true" t="shared" si="4" ref="G37:H41">G38</f>
        <v>91.90273</v>
      </c>
      <c r="H37" s="313">
        <f t="shared" si="4"/>
        <v>0</v>
      </c>
      <c r="I37" s="329">
        <f>H37/G37*100</f>
        <v>0</v>
      </c>
    </row>
    <row r="38" spans="1:9" ht="30">
      <c r="A38" s="112" t="s">
        <v>115</v>
      </c>
      <c r="B38" s="32" t="s">
        <v>143</v>
      </c>
      <c r="C38" s="54" t="s">
        <v>112</v>
      </c>
      <c r="D38" s="54" t="s">
        <v>130</v>
      </c>
      <c r="E38" s="113" t="s">
        <v>7</v>
      </c>
      <c r="F38" s="113" t="s">
        <v>347</v>
      </c>
      <c r="G38" s="312">
        <f t="shared" si="4"/>
        <v>91.90273</v>
      </c>
      <c r="H38" s="107">
        <f t="shared" si="4"/>
        <v>0</v>
      </c>
      <c r="I38" s="329">
        <f t="shared" si="3"/>
        <v>0</v>
      </c>
    </row>
    <row r="39" spans="1:9" ht="33" customHeight="1">
      <c r="A39" s="112" t="s">
        <v>116</v>
      </c>
      <c r="B39" s="32" t="s">
        <v>143</v>
      </c>
      <c r="C39" s="54" t="s">
        <v>112</v>
      </c>
      <c r="D39" s="54" t="s">
        <v>130</v>
      </c>
      <c r="E39" s="113" t="s">
        <v>8</v>
      </c>
      <c r="F39" s="113" t="s">
        <v>347</v>
      </c>
      <c r="G39" s="312">
        <f t="shared" si="4"/>
        <v>91.90273</v>
      </c>
      <c r="H39" s="107">
        <f t="shared" si="4"/>
        <v>0</v>
      </c>
      <c r="I39" s="329">
        <f t="shared" si="3"/>
        <v>0</v>
      </c>
    </row>
    <row r="40" spans="1:9" ht="30">
      <c r="A40" s="112" t="s">
        <v>530</v>
      </c>
      <c r="B40" s="32" t="s">
        <v>143</v>
      </c>
      <c r="C40" s="54" t="s">
        <v>112</v>
      </c>
      <c r="D40" s="54" t="s">
        <v>130</v>
      </c>
      <c r="E40" s="54" t="s">
        <v>531</v>
      </c>
      <c r="F40" s="113" t="s">
        <v>347</v>
      </c>
      <c r="G40" s="312">
        <f t="shared" si="4"/>
        <v>91.90273</v>
      </c>
      <c r="H40" s="107">
        <f t="shared" si="4"/>
        <v>0</v>
      </c>
      <c r="I40" s="329">
        <f t="shared" si="3"/>
        <v>0</v>
      </c>
    </row>
    <row r="41" spans="1:9" ht="15">
      <c r="A41" s="112" t="s">
        <v>156</v>
      </c>
      <c r="B41" s="32" t="s">
        <v>143</v>
      </c>
      <c r="C41" s="54" t="s">
        <v>112</v>
      </c>
      <c r="D41" s="54" t="s">
        <v>130</v>
      </c>
      <c r="E41" s="54" t="s">
        <v>531</v>
      </c>
      <c r="F41" s="113" t="s">
        <v>157</v>
      </c>
      <c r="G41" s="312">
        <f t="shared" si="4"/>
        <v>91.90273</v>
      </c>
      <c r="H41" s="107">
        <f t="shared" si="4"/>
        <v>0</v>
      </c>
      <c r="I41" s="329">
        <f t="shared" si="3"/>
        <v>0</v>
      </c>
    </row>
    <row r="42" spans="1:9" ht="15">
      <c r="A42" s="112" t="s">
        <v>158</v>
      </c>
      <c r="B42" s="32" t="s">
        <v>143</v>
      </c>
      <c r="C42" s="54" t="s">
        <v>112</v>
      </c>
      <c r="D42" s="54" t="s">
        <v>130</v>
      </c>
      <c r="E42" s="54" t="s">
        <v>531</v>
      </c>
      <c r="F42" s="113" t="s">
        <v>159</v>
      </c>
      <c r="G42" s="312">
        <v>91.90273</v>
      </c>
      <c r="H42" s="107">
        <v>0</v>
      </c>
      <c r="I42" s="329">
        <f t="shared" si="3"/>
        <v>0</v>
      </c>
    </row>
    <row r="43" spans="1:13" ht="16.5" customHeight="1">
      <c r="A43" s="99" t="s">
        <v>294</v>
      </c>
      <c r="B43" s="347">
        <v>951</v>
      </c>
      <c r="C43" s="108" t="s">
        <v>112</v>
      </c>
      <c r="D43" s="108" t="s">
        <v>132</v>
      </c>
      <c r="E43" s="108" t="s">
        <v>262</v>
      </c>
      <c r="F43" s="108" t="s">
        <v>347</v>
      </c>
      <c r="G43" s="109">
        <f>G44+G45+G78+G111+G129+G132</f>
        <v>23442.183520000002</v>
      </c>
      <c r="H43" s="109">
        <f>H44+H45+H78+H111+H129+H132</f>
        <v>16073.815489999999</v>
      </c>
      <c r="I43" s="329">
        <f t="shared" si="3"/>
        <v>68.56791081891504</v>
      </c>
      <c r="J43" s="53">
        <v>23442.18352</v>
      </c>
      <c r="K43" s="53">
        <v>16073.81549</v>
      </c>
      <c r="L43" s="343">
        <f>J43-G43</f>
        <v>0</v>
      </c>
      <c r="M43" s="343">
        <f>K43-H43</f>
        <v>0</v>
      </c>
    </row>
    <row r="44" spans="1:9" ht="16.5" customHeight="1">
      <c r="A44" s="29" t="s">
        <v>133</v>
      </c>
      <c r="B44" s="32">
        <v>951</v>
      </c>
      <c r="C44" s="54" t="s">
        <v>112</v>
      </c>
      <c r="D44" s="54" t="s">
        <v>132</v>
      </c>
      <c r="E44" s="54" t="s">
        <v>262</v>
      </c>
      <c r="F44" s="54" t="s">
        <v>347</v>
      </c>
      <c r="G44" s="107">
        <f>G46+G51+G56+G61+G71</f>
        <v>4674.381</v>
      </c>
      <c r="H44" s="107">
        <f>H46+H51+H56+H61+H71</f>
        <v>4674.3804</v>
      </c>
      <c r="I44" s="329">
        <f t="shared" si="3"/>
        <v>99.99998716407583</v>
      </c>
    </row>
    <row r="45" spans="1:9" ht="16.5" customHeight="1">
      <c r="A45" s="29" t="s">
        <v>245</v>
      </c>
      <c r="B45" s="32" t="s">
        <v>143</v>
      </c>
      <c r="C45" s="54" t="s">
        <v>112</v>
      </c>
      <c r="D45" s="54" t="s">
        <v>132</v>
      </c>
      <c r="E45" s="54" t="s">
        <v>262</v>
      </c>
      <c r="F45" s="54" t="s">
        <v>347</v>
      </c>
      <c r="G45" s="107">
        <f>G74+G145</f>
        <v>3231.3830000000003</v>
      </c>
      <c r="H45" s="107">
        <f>H74+H145</f>
        <v>3231.3830000000003</v>
      </c>
      <c r="I45" s="329">
        <f t="shared" si="3"/>
        <v>100</v>
      </c>
    </row>
    <row r="46" spans="1:9" s="30" customFormat="1" ht="66.75" customHeight="1">
      <c r="A46" s="75" t="s">
        <v>134</v>
      </c>
      <c r="B46" s="97">
        <v>951</v>
      </c>
      <c r="C46" s="80" t="s">
        <v>112</v>
      </c>
      <c r="D46" s="80" t="s">
        <v>132</v>
      </c>
      <c r="E46" s="80" t="s">
        <v>13</v>
      </c>
      <c r="F46" s="80" t="s">
        <v>347</v>
      </c>
      <c r="G46" s="115">
        <f>G47+G49</f>
        <v>774.981</v>
      </c>
      <c r="H46" s="115">
        <f>H47+H49</f>
        <v>774.9804</v>
      </c>
      <c r="I46" s="330">
        <f t="shared" si="3"/>
        <v>99.99992257874709</v>
      </c>
    </row>
    <row r="47" spans="1:9" ht="96.75" customHeight="1">
      <c r="A47" s="29" t="s">
        <v>148</v>
      </c>
      <c r="B47" s="32">
        <v>951</v>
      </c>
      <c r="C47" s="54" t="s">
        <v>112</v>
      </c>
      <c r="D47" s="54" t="s">
        <v>132</v>
      </c>
      <c r="E47" s="54" t="s">
        <v>13</v>
      </c>
      <c r="F47" s="54" t="s">
        <v>117</v>
      </c>
      <c r="G47" s="107">
        <f>G48</f>
        <v>515.458</v>
      </c>
      <c r="H47" s="107">
        <f>H48</f>
        <v>515.4574</v>
      </c>
      <c r="I47" s="329">
        <f t="shared" si="3"/>
        <v>99.99988359866371</v>
      </c>
    </row>
    <row r="48" spans="1:9" ht="29.25" customHeight="1">
      <c r="A48" s="61" t="s">
        <v>150</v>
      </c>
      <c r="B48" s="32">
        <v>951</v>
      </c>
      <c r="C48" s="54" t="s">
        <v>112</v>
      </c>
      <c r="D48" s="54" t="s">
        <v>132</v>
      </c>
      <c r="E48" s="54" t="s">
        <v>13</v>
      </c>
      <c r="F48" s="54" t="s">
        <v>149</v>
      </c>
      <c r="G48" s="107">
        <v>515.458</v>
      </c>
      <c r="H48" s="107">
        <v>515.4574</v>
      </c>
      <c r="I48" s="329">
        <f t="shared" si="3"/>
        <v>99.99988359866371</v>
      </c>
    </row>
    <row r="49" spans="1:9" ht="31.5" customHeight="1">
      <c r="A49" s="29" t="s">
        <v>151</v>
      </c>
      <c r="B49" s="32">
        <v>951</v>
      </c>
      <c r="C49" s="54" t="s">
        <v>112</v>
      </c>
      <c r="D49" s="54" t="s">
        <v>132</v>
      </c>
      <c r="E49" s="54" t="s">
        <v>13</v>
      </c>
      <c r="F49" s="54" t="s">
        <v>121</v>
      </c>
      <c r="G49" s="107">
        <f>G50</f>
        <v>259.523</v>
      </c>
      <c r="H49" s="107">
        <f>H50</f>
        <v>259.523</v>
      </c>
      <c r="I49" s="329">
        <f t="shared" si="3"/>
        <v>100</v>
      </c>
    </row>
    <row r="50" spans="1:9" ht="42.75" customHeight="1">
      <c r="A50" s="61" t="s">
        <v>152</v>
      </c>
      <c r="B50" s="32">
        <v>951</v>
      </c>
      <c r="C50" s="54" t="s">
        <v>112</v>
      </c>
      <c r="D50" s="54" t="s">
        <v>132</v>
      </c>
      <c r="E50" s="54" t="s">
        <v>13</v>
      </c>
      <c r="F50" s="54" t="s">
        <v>153</v>
      </c>
      <c r="G50" s="107">
        <v>259.523</v>
      </c>
      <c r="H50" s="107">
        <v>259.523</v>
      </c>
      <c r="I50" s="329">
        <f t="shared" si="3"/>
        <v>100</v>
      </c>
    </row>
    <row r="51" spans="1:9" s="30" customFormat="1" ht="54.75" customHeight="1">
      <c r="A51" s="75" t="s">
        <v>357</v>
      </c>
      <c r="B51" s="97">
        <v>951</v>
      </c>
      <c r="C51" s="80" t="s">
        <v>112</v>
      </c>
      <c r="D51" s="80" t="s">
        <v>132</v>
      </c>
      <c r="E51" s="80" t="s">
        <v>14</v>
      </c>
      <c r="F51" s="80" t="s">
        <v>347</v>
      </c>
      <c r="G51" s="115">
        <f>G52+G54</f>
        <v>1167.127</v>
      </c>
      <c r="H51" s="115">
        <f>H52+H54</f>
        <v>1167.127</v>
      </c>
      <c r="I51" s="330">
        <f t="shared" si="3"/>
        <v>100</v>
      </c>
    </row>
    <row r="52" spans="1:9" ht="94.5" customHeight="1">
      <c r="A52" s="29" t="s">
        <v>148</v>
      </c>
      <c r="B52" s="32" t="s">
        <v>143</v>
      </c>
      <c r="C52" s="54" t="s">
        <v>112</v>
      </c>
      <c r="D52" s="54" t="s">
        <v>132</v>
      </c>
      <c r="E52" s="54" t="s">
        <v>14</v>
      </c>
      <c r="F52" s="54" t="s">
        <v>117</v>
      </c>
      <c r="G52" s="107">
        <f>G53</f>
        <v>1032.33028</v>
      </c>
      <c r="H52" s="107">
        <f>H53</f>
        <v>1032.33028</v>
      </c>
      <c r="I52" s="329">
        <f t="shared" si="3"/>
        <v>100</v>
      </c>
    </row>
    <row r="53" spans="1:9" ht="32.25" customHeight="1">
      <c r="A53" s="61" t="s">
        <v>150</v>
      </c>
      <c r="B53" s="32" t="s">
        <v>143</v>
      </c>
      <c r="C53" s="54" t="s">
        <v>112</v>
      </c>
      <c r="D53" s="54" t="s">
        <v>132</v>
      </c>
      <c r="E53" s="54" t="s">
        <v>14</v>
      </c>
      <c r="F53" s="54" t="s">
        <v>149</v>
      </c>
      <c r="G53" s="107">
        <v>1032.33028</v>
      </c>
      <c r="H53" s="107">
        <v>1032.33028</v>
      </c>
      <c r="I53" s="329">
        <f t="shared" si="3"/>
        <v>100</v>
      </c>
    </row>
    <row r="54" spans="1:9" ht="31.5" customHeight="1">
      <c r="A54" s="29" t="s">
        <v>151</v>
      </c>
      <c r="B54" s="32">
        <v>951</v>
      </c>
      <c r="C54" s="54" t="s">
        <v>112</v>
      </c>
      <c r="D54" s="54" t="s">
        <v>132</v>
      </c>
      <c r="E54" s="54" t="s">
        <v>14</v>
      </c>
      <c r="F54" s="54" t="s">
        <v>121</v>
      </c>
      <c r="G54" s="107">
        <f>G55</f>
        <v>134.79672</v>
      </c>
      <c r="H54" s="107">
        <f>H55</f>
        <v>134.79672</v>
      </c>
      <c r="I54" s="329">
        <f t="shared" si="3"/>
        <v>100</v>
      </c>
    </row>
    <row r="55" spans="1:9" ht="44.25" customHeight="1">
      <c r="A55" s="61" t="s">
        <v>152</v>
      </c>
      <c r="B55" s="32">
        <v>951</v>
      </c>
      <c r="C55" s="54" t="s">
        <v>112</v>
      </c>
      <c r="D55" s="54" t="s">
        <v>132</v>
      </c>
      <c r="E55" s="54" t="s">
        <v>14</v>
      </c>
      <c r="F55" s="54" t="s">
        <v>153</v>
      </c>
      <c r="G55" s="107">
        <v>134.79672</v>
      </c>
      <c r="H55" s="107">
        <v>134.79672</v>
      </c>
      <c r="I55" s="329">
        <f t="shared" si="3"/>
        <v>100</v>
      </c>
    </row>
    <row r="56" spans="1:9" ht="50.25" customHeight="1">
      <c r="A56" s="75" t="s">
        <v>135</v>
      </c>
      <c r="B56" s="97" t="s">
        <v>143</v>
      </c>
      <c r="C56" s="80" t="s">
        <v>112</v>
      </c>
      <c r="D56" s="80" t="s">
        <v>132</v>
      </c>
      <c r="E56" s="80" t="s">
        <v>15</v>
      </c>
      <c r="F56" s="80" t="s">
        <v>347</v>
      </c>
      <c r="G56" s="115">
        <f>G57+G59</f>
        <v>746.896</v>
      </c>
      <c r="H56" s="115">
        <f>H57+H59</f>
        <v>746.896</v>
      </c>
      <c r="I56" s="330">
        <f t="shared" si="3"/>
        <v>100</v>
      </c>
    </row>
    <row r="57" spans="1:9" ht="96" customHeight="1">
      <c r="A57" s="29" t="s">
        <v>148</v>
      </c>
      <c r="B57" s="32" t="s">
        <v>143</v>
      </c>
      <c r="C57" s="54" t="s">
        <v>112</v>
      </c>
      <c r="D57" s="54" t="s">
        <v>132</v>
      </c>
      <c r="E57" s="54" t="s">
        <v>15</v>
      </c>
      <c r="F57" s="54" t="s">
        <v>117</v>
      </c>
      <c r="G57" s="107">
        <f>G58</f>
        <v>712.87736</v>
      </c>
      <c r="H57" s="107">
        <f>H58</f>
        <v>712.87736</v>
      </c>
      <c r="I57" s="329">
        <f t="shared" si="3"/>
        <v>100</v>
      </c>
    </row>
    <row r="58" spans="1:9" ht="30" customHeight="1">
      <c r="A58" s="61" t="s">
        <v>150</v>
      </c>
      <c r="B58" s="32">
        <v>951</v>
      </c>
      <c r="C58" s="54" t="s">
        <v>112</v>
      </c>
      <c r="D58" s="54" t="s">
        <v>132</v>
      </c>
      <c r="E58" s="54" t="s">
        <v>15</v>
      </c>
      <c r="F58" s="54" t="s">
        <v>149</v>
      </c>
      <c r="G58" s="107">
        <v>712.87736</v>
      </c>
      <c r="H58" s="107">
        <v>712.87736</v>
      </c>
      <c r="I58" s="329">
        <f t="shared" si="3"/>
        <v>100</v>
      </c>
    </row>
    <row r="59" spans="1:9" ht="40.5" customHeight="1">
      <c r="A59" s="29" t="s">
        <v>151</v>
      </c>
      <c r="B59" s="32">
        <v>951</v>
      </c>
      <c r="C59" s="54" t="s">
        <v>112</v>
      </c>
      <c r="D59" s="54" t="s">
        <v>132</v>
      </c>
      <c r="E59" s="54" t="s">
        <v>15</v>
      </c>
      <c r="F59" s="54" t="s">
        <v>121</v>
      </c>
      <c r="G59" s="107">
        <f>G60</f>
        <v>34.01864</v>
      </c>
      <c r="H59" s="107">
        <f>H60</f>
        <v>34.01864</v>
      </c>
      <c r="I59" s="329">
        <f t="shared" si="3"/>
        <v>100</v>
      </c>
    </row>
    <row r="60" spans="1:9" ht="56.25" customHeight="1">
      <c r="A60" s="61" t="s">
        <v>152</v>
      </c>
      <c r="B60" s="32">
        <v>951</v>
      </c>
      <c r="C60" s="54" t="s">
        <v>112</v>
      </c>
      <c r="D60" s="54" t="s">
        <v>132</v>
      </c>
      <c r="E60" s="54" t="s">
        <v>15</v>
      </c>
      <c r="F60" s="54" t="s">
        <v>153</v>
      </c>
      <c r="G60" s="107">
        <v>34.01864</v>
      </c>
      <c r="H60" s="107">
        <v>34.01864</v>
      </c>
      <c r="I60" s="329">
        <f t="shared" si="3"/>
        <v>100</v>
      </c>
    </row>
    <row r="61" spans="1:9" ht="111" customHeight="1">
      <c r="A61" s="75" t="s">
        <v>16</v>
      </c>
      <c r="B61" s="97">
        <v>951</v>
      </c>
      <c r="C61" s="80" t="s">
        <v>112</v>
      </c>
      <c r="D61" s="80" t="s">
        <v>132</v>
      </c>
      <c r="E61" s="80" t="s">
        <v>263</v>
      </c>
      <c r="F61" s="80" t="s">
        <v>347</v>
      </c>
      <c r="G61" s="115">
        <f>G62+G64</f>
        <v>1798.09</v>
      </c>
      <c r="H61" s="115">
        <f>H62+H64</f>
        <v>1798.09</v>
      </c>
      <c r="I61" s="330">
        <f t="shared" si="3"/>
        <v>100</v>
      </c>
    </row>
    <row r="62" spans="1:9" ht="90.75" customHeight="1">
      <c r="A62" s="29" t="s">
        <v>148</v>
      </c>
      <c r="B62" s="32">
        <v>951</v>
      </c>
      <c r="C62" s="54" t="s">
        <v>112</v>
      </c>
      <c r="D62" s="54" t="s">
        <v>132</v>
      </c>
      <c r="E62" s="54" t="s">
        <v>263</v>
      </c>
      <c r="F62" s="54" t="s">
        <v>117</v>
      </c>
      <c r="G62" s="107">
        <f>G63</f>
        <v>1333.73176</v>
      </c>
      <c r="H62" s="107">
        <f>H63</f>
        <v>1333.73176</v>
      </c>
      <c r="I62" s="329">
        <f t="shared" si="3"/>
        <v>100</v>
      </c>
    </row>
    <row r="63" spans="1:9" ht="30">
      <c r="A63" s="61" t="s">
        <v>150</v>
      </c>
      <c r="B63" s="32">
        <v>951</v>
      </c>
      <c r="C63" s="54" t="s">
        <v>112</v>
      </c>
      <c r="D63" s="54" t="s">
        <v>132</v>
      </c>
      <c r="E63" s="54" t="s">
        <v>263</v>
      </c>
      <c r="F63" s="54" t="s">
        <v>149</v>
      </c>
      <c r="G63" s="107">
        <v>1333.73176</v>
      </c>
      <c r="H63" s="107">
        <v>1333.73176</v>
      </c>
      <c r="I63" s="329">
        <f t="shared" si="3"/>
        <v>100</v>
      </c>
    </row>
    <row r="64" spans="1:9" ht="30">
      <c r="A64" s="29" t="s">
        <v>151</v>
      </c>
      <c r="B64" s="32">
        <v>951</v>
      </c>
      <c r="C64" s="54" t="s">
        <v>112</v>
      </c>
      <c r="D64" s="54" t="s">
        <v>132</v>
      </c>
      <c r="E64" s="54" t="s">
        <v>263</v>
      </c>
      <c r="F64" s="54" t="s">
        <v>121</v>
      </c>
      <c r="G64" s="107">
        <f>G65</f>
        <v>464.35824</v>
      </c>
      <c r="H64" s="107">
        <f>H65</f>
        <v>464.35824</v>
      </c>
      <c r="I64" s="329">
        <f t="shared" si="3"/>
        <v>100</v>
      </c>
    </row>
    <row r="65" spans="1:9" ht="45">
      <c r="A65" s="61" t="s">
        <v>152</v>
      </c>
      <c r="B65" s="32">
        <v>951</v>
      </c>
      <c r="C65" s="54" t="s">
        <v>112</v>
      </c>
      <c r="D65" s="54" t="s">
        <v>132</v>
      </c>
      <c r="E65" s="54" t="s">
        <v>263</v>
      </c>
      <c r="F65" s="54" t="s">
        <v>153</v>
      </c>
      <c r="G65" s="107">
        <v>464.35824</v>
      </c>
      <c r="H65" s="107">
        <v>464.35824</v>
      </c>
      <c r="I65" s="329">
        <f t="shared" si="3"/>
        <v>100</v>
      </c>
    </row>
    <row r="66" spans="1:9" ht="105" hidden="1">
      <c r="A66" s="61" t="s">
        <v>141</v>
      </c>
      <c r="B66" s="32">
        <v>952</v>
      </c>
      <c r="C66" s="54" t="s">
        <v>112</v>
      </c>
      <c r="D66" s="54" t="s">
        <v>132</v>
      </c>
      <c r="E66" s="54" t="s">
        <v>278</v>
      </c>
      <c r="F66" s="54" t="s">
        <v>347</v>
      </c>
      <c r="G66" s="312" t="e">
        <f>H66+I66</f>
        <v>#DIV/0!</v>
      </c>
      <c r="H66" s="318"/>
      <c r="I66" s="329" t="e">
        <f t="shared" si="3"/>
        <v>#DIV/0!</v>
      </c>
    </row>
    <row r="67" spans="1:9" ht="45" hidden="1">
      <c r="A67" s="61" t="s">
        <v>152</v>
      </c>
      <c r="B67" s="32">
        <v>953</v>
      </c>
      <c r="C67" s="54" t="s">
        <v>112</v>
      </c>
      <c r="D67" s="54" t="s">
        <v>132</v>
      </c>
      <c r="E67" s="54" t="s">
        <v>278</v>
      </c>
      <c r="F67" s="54" t="s">
        <v>153</v>
      </c>
      <c r="G67" s="312">
        <f>H67+I67</f>
        <v>0</v>
      </c>
      <c r="H67" s="318"/>
      <c r="I67" s="329" t="e">
        <f t="shared" si="3"/>
        <v>#DIV/0!</v>
      </c>
    </row>
    <row r="68" spans="1:9" ht="75" hidden="1">
      <c r="A68" s="94" t="s">
        <v>370</v>
      </c>
      <c r="B68" s="32">
        <v>954</v>
      </c>
      <c r="C68" s="54" t="s">
        <v>112</v>
      </c>
      <c r="D68" s="54" t="s">
        <v>132</v>
      </c>
      <c r="E68" s="348" t="s">
        <v>24</v>
      </c>
      <c r="F68" s="348" t="s">
        <v>347</v>
      </c>
      <c r="G68" s="314" t="e">
        <f>H68+I68</f>
        <v>#DIV/0!</v>
      </c>
      <c r="H68" s="321">
        <f>H69+H70</f>
        <v>0</v>
      </c>
      <c r="I68" s="329" t="e">
        <f t="shared" si="3"/>
        <v>#DIV/0!</v>
      </c>
    </row>
    <row r="69" spans="1:9" ht="75" hidden="1">
      <c r="A69" s="349" t="s">
        <v>98</v>
      </c>
      <c r="B69" s="32">
        <v>955</v>
      </c>
      <c r="C69" s="54" t="s">
        <v>112</v>
      </c>
      <c r="D69" s="54" t="s">
        <v>132</v>
      </c>
      <c r="E69" s="54" t="s">
        <v>398</v>
      </c>
      <c r="F69" s="54" t="s">
        <v>92</v>
      </c>
      <c r="G69" s="107">
        <f>H69+I69</f>
        <v>0</v>
      </c>
      <c r="H69" s="107"/>
      <c r="I69" s="329" t="e">
        <f t="shared" si="3"/>
        <v>#DIV/0!</v>
      </c>
    </row>
    <row r="70" spans="1:9" ht="75" hidden="1">
      <c r="A70" s="350" t="s">
        <v>93</v>
      </c>
      <c r="B70" s="32">
        <v>956</v>
      </c>
      <c r="C70" s="54" t="s">
        <v>112</v>
      </c>
      <c r="D70" s="54" t="s">
        <v>132</v>
      </c>
      <c r="E70" s="351" t="s">
        <v>90</v>
      </c>
      <c r="F70" s="351" t="s">
        <v>92</v>
      </c>
      <c r="G70" s="315">
        <f>H70+I70</f>
        <v>0</v>
      </c>
      <c r="H70" s="322"/>
      <c r="I70" s="329" t="e">
        <f t="shared" si="3"/>
        <v>#DIV/0!</v>
      </c>
    </row>
    <row r="71" spans="1:9" s="30" customFormat="1" ht="75">
      <c r="A71" s="75" t="s">
        <v>591</v>
      </c>
      <c r="B71" s="97" t="s">
        <v>143</v>
      </c>
      <c r="C71" s="80" t="s">
        <v>112</v>
      </c>
      <c r="D71" s="80" t="s">
        <v>132</v>
      </c>
      <c r="E71" s="80" t="s">
        <v>592</v>
      </c>
      <c r="F71" s="80" t="s">
        <v>347</v>
      </c>
      <c r="G71" s="316">
        <f>G72</f>
        <v>187.287</v>
      </c>
      <c r="H71" s="316">
        <f>H72</f>
        <v>187.287</v>
      </c>
      <c r="I71" s="329">
        <f t="shared" si="3"/>
        <v>100</v>
      </c>
    </row>
    <row r="72" spans="1:9" ht="90">
      <c r="A72" s="29" t="s">
        <v>148</v>
      </c>
      <c r="B72" s="32" t="s">
        <v>143</v>
      </c>
      <c r="C72" s="54" t="s">
        <v>112</v>
      </c>
      <c r="D72" s="54" t="s">
        <v>132</v>
      </c>
      <c r="E72" s="54" t="s">
        <v>592</v>
      </c>
      <c r="F72" s="54" t="s">
        <v>117</v>
      </c>
      <c r="G72" s="312">
        <f>G73</f>
        <v>187.287</v>
      </c>
      <c r="H72" s="312">
        <f>H73</f>
        <v>187.287</v>
      </c>
      <c r="I72" s="329">
        <f t="shared" si="3"/>
        <v>100</v>
      </c>
    </row>
    <row r="73" spans="1:9" ht="31.5" customHeight="1">
      <c r="A73" s="61" t="s">
        <v>150</v>
      </c>
      <c r="B73" s="32" t="s">
        <v>143</v>
      </c>
      <c r="C73" s="54" t="s">
        <v>112</v>
      </c>
      <c r="D73" s="54" t="s">
        <v>132</v>
      </c>
      <c r="E73" s="54" t="s">
        <v>592</v>
      </c>
      <c r="F73" s="54" t="s">
        <v>149</v>
      </c>
      <c r="G73" s="312">
        <v>187.287</v>
      </c>
      <c r="H73" s="312">
        <v>187.287</v>
      </c>
      <c r="I73" s="329">
        <f t="shared" si="3"/>
        <v>100</v>
      </c>
    </row>
    <row r="74" spans="1:9" ht="165" customHeight="1">
      <c r="A74" s="61" t="s">
        <v>682</v>
      </c>
      <c r="B74" s="32" t="s">
        <v>143</v>
      </c>
      <c r="C74" s="54" t="s">
        <v>112</v>
      </c>
      <c r="D74" s="54" t="s">
        <v>132</v>
      </c>
      <c r="E74" s="54" t="s">
        <v>594</v>
      </c>
      <c r="F74" s="80" t="s">
        <v>347</v>
      </c>
      <c r="G74" s="312">
        <f>G75</f>
        <v>124.992</v>
      </c>
      <c r="H74" s="312">
        <f>H75</f>
        <v>124.992</v>
      </c>
      <c r="I74" s="329">
        <f t="shared" si="3"/>
        <v>100</v>
      </c>
    </row>
    <row r="75" spans="1:9" ht="90">
      <c r="A75" s="29" t="s">
        <v>148</v>
      </c>
      <c r="B75" s="32" t="s">
        <v>143</v>
      </c>
      <c r="C75" s="54" t="s">
        <v>112</v>
      </c>
      <c r="D75" s="54" t="s">
        <v>132</v>
      </c>
      <c r="E75" s="54" t="s">
        <v>594</v>
      </c>
      <c r="F75" s="54" t="s">
        <v>117</v>
      </c>
      <c r="G75" s="312">
        <f>G76</f>
        <v>124.992</v>
      </c>
      <c r="H75" s="312">
        <f>H76</f>
        <v>124.992</v>
      </c>
      <c r="I75" s="329">
        <f t="shared" si="3"/>
        <v>100</v>
      </c>
    </row>
    <row r="76" spans="1:9" ht="31.5" customHeight="1">
      <c r="A76" s="61" t="s">
        <v>150</v>
      </c>
      <c r="B76" s="32" t="s">
        <v>143</v>
      </c>
      <c r="C76" s="54" t="s">
        <v>112</v>
      </c>
      <c r="D76" s="54" t="s">
        <v>132</v>
      </c>
      <c r="E76" s="54" t="s">
        <v>594</v>
      </c>
      <c r="F76" s="54" t="s">
        <v>149</v>
      </c>
      <c r="G76" s="312">
        <v>124.992</v>
      </c>
      <c r="H76" s="312">
        <v>124.992</v>
      </c>
      <c r="I76" s="329">
        <f t="shared" si="3"/>
        <v>100</v>
      </c>
    </row>
    <row r="77" spans="1:9" ht="15" hidden="1">
      <c r="A77" s="61"/>
      <c r="B77" s="32"/>
      <c r="C77" s="54"/>
      <c r="D77" s="54"/>
      <c r="E77" s="54"/>
      <c r="F77" s="54"/>
      <c r="G77" s="312"/>
      <c r="H77" s="107"/>
      <c r="I77" s="329" t="e">
        <f t="shared" si="3"/>
        <v>#DIV/0!</v>
      </c>
    </row>
    <row r="78" spans="1:9" ht="45">
      <c r="A78" s="99" t="s">
        <v>115</v>
      </c>
      <c r="B78" s="32">
        <v>951</v>
      </c>
      <c r="C78" s="54" t="s">
        <v>112</v>
      </c>
      <c r="D78" s="54" t="s">
        <v>132</v>
      </c>
      <c r="E78" s="54" t="s">
        <v>7</v>
      </c>
      <c r="F78" s="54" t="s">
        <v>347</v>
      </c>
      <c r="G78" s="107">
        <f>G79</f>
        <v>8045.58784</v>
      </c>
      <c r="H78" s="107">
        <f>H79</f>
        <v>7639.11132</v>
      </c>
      <c r="I78" s="329">
        <f t="shared" si="3"/>
        <v>94.94783317162813</v>
      </c>
    </row>
    <row r="79" spans="1:9" ht="57" customHeight="1">
      <c r="A79" s="29" t="s">
        <v>116</v>
      </c>
      <c r="B79" s="32">
        <v>951</v>
      </c>
      <c r="C79" s="54" t="s">
        <v>112</v>
      </c>
      <c r="D79" s="54" t="s">
        <v>132</v>
      </c>
      <c r="E79" s="54" t="s">
        <v>8</v>
      </c>
      <c r="F79" s="54" t="s">
        <v>347</v>
      </c>
      <c r="G79" s="107">
        <f>G80+G85+G88+G91+G101+G108+G150+G155</f>
        <v>8045.58784</v>
      </c>
      <c r="H79" s="107">
        <f>H80+H85+H88+H91+H101+H108+H150+H155</f>
        <v>7639.11132</v>
      </c>
      <c r="I79" s="329">
        <f t="shared" si="3"/>
        <v>94.94783317162813</v>
      </c>
    </row>
    <row r="80" spans="1:9" ht="54.75" customHeight="1">
      <c r="A80" s="29" t="s">
        <v>525</v>
      </c>
      <c r="B80" s="32">
        <v>951</v>
      </c>
      <c r="C80" s="54" t="s">
        <v>112</v>
      </c>
      <c r="D80" s="54" t="s">
        <v>132</v>
      </c>
      <c r="E80" s="54" t="s">
        <v>11</v>
      </c>
      <c r="F80" s="54" t="s">
        <v>347</v>
      </c>
      <c r="G80" s="107">
        <f>G81+G83</f>
        <v>3792.21405</v>
      </c>
      <c r="H80" s="107">
        <f>H81+H83</f>
        <v>3530.75976</v>
      </c>
      <c r="I80" s="329">
        <f t="shared" si="3"/>
        <v>93.10549756546574</v>
      </c>
    </row>
    <row r="81" spans="1:9" ht="94.5" customHeight="1">
      <c r="A81" s="29" t="s">
        <v>148</v>
      </c>
      <c r="B81" s="32">
        <v>951</v>
      </c>
      <c r="C81" s="54" t="s">
        <v>112</v>
      </c>
      <c r="D81" s="54" t="s">
        <v>132</v>
      </c>
      <c r="E81" s="54" t="s">
        <v>11</v>
      </c>
      <c r="F81" s="54" t="s">
        <v>117</v>
      </c>
      <c r="G81" s="107">
        <f>G82</f>
        <v>3629.37905</v>
      </c>
      <c r="H81" s="107">
        <f>H82</f>
        <v>3375.26076</v>
      </c>
      <c r="I81" s="329">
        <f t="shared" si="3"/>
        <v>92.99829842793632</v>
      </c>
    </row>
    <row r="82" spans="1:9" ht="30">
      <c r="A82" s="61" t="s">
        <v>150</v>
      </c>
      <c r="B82" s="32">
        <v>951</v>
      </c>
      <c r="C82" s="54" t="s">
        <v>112</v>
      </c>
      <c r="D82" s="54" t="s">
        <v>132</v>
      </c>
      <c r="E82" s="54" t="s">
        <v>11</v>
      </c>
      <c r="F82" s="54" t="s">
        <v>149</v>
      </c>
      <c r="G82" s="107">
        <v>3629.37905</v>
      </c>
      <c r="H82" s="107">
        <v>3375.26076</v>
      </c>
      <c r="I82" s="329">
        <f t="shared" si="3"/>
        <v>92.99829842793632</v>
      </c>
    </row>
    <row r="83" spans="1:9" ht="30">
      <c r="A83" s="29" t="s">
        <v>151</v>
      </c>
      <c r="B83" s="32">
        <v>951</v>
      </c>
      <c r="C83" s="54" t="s">
        <v>112</v>
      </c>
      <c r="D83" s="54" t="s">
        <v>132</v>
      </c>
      <c r="E83" s="54" t="s">
        <v>11</v>
      </c>
      <c r="F83" s="54" t="s">
        <v>121</v>
      </c>
      <c r="G83" s="107">
        <f>G84</f>
        <v>162.835</v>
      </c>
      <c r="H83" s="107">
        <f>H84</f>
        <v>155.499</v>
      </c>
      <c r="I83" s="329">
        <f t="shared" si="3"/>
        <v>95.49482605091042</v>
      </c>
    </row>
    <row r="84" spans="1:9" ht="51.75" customHeight="1">
      <c r="A84" s="61" t="s">
        <v>152</v>
      </c>
      <c r="B84" s="32">
        <v>951</v>
      </c>
      <c r="C84" s="54" t="s">
        <v>112</v>
      </c>
      <c r="D84" s="54" t="s">
        <v>132</v>
      </c>
      <c r="E84" s="54" t="s">
        <v>11</v>
      </c>
      <c r="F84" s="54" t="s">
        <v>153</v>
      </c>
      <c r="G84" s="107">
        <v>162.835</v>
      </c>
      <c r="H84" s="107">
        <v>155.499</v>
      </c>
      <c r="I84" s="329">
        <f t="shared" si="3"/>
        <v>95.49482605091042</v>
      </c>
    </row>
    <row r="85" spans="1:9" ht="15">
      <c r="A85" s="75" t="s">
        <v>160</v>
      </c>
      <c r="B85" s="97">
        <v>951</v>
      </c>
      <c r="C85" s="80" t="s">
        <v>112</v>
      </c>
      <c r="D85" s="80" t="s">
        <v>132</v>
      </c>
      <c r="E85" s="80" t="s">
        <v>17</v>
      </c>
      <c r="F85" s="80" t="s">
        <v>347</v>
      </c>
      <c r="G85" s="115">
        <f>G86</f>
        <v>16.39796</v>
      </c>
      <c r="H85" s="115">
        <f>H86</f>
        <v>5.09796</v>
      </c>
      <c r="I85" s="329">
        <f t="shared" si="3"/>
        <v>31.088989118158594</v>
      </c>
    </row>
    <row r="86" spans="1:9" ht="15">
      <c r="A86" s="29" t="s">
        <v>156</v>
      </c>
      <c r="B86" s="32">
        <v>951</v>
      </c>
      <c r="C86" s="54" t="s">
        <v>112</v>
      </c>
      <c r="D86" s="54" t="s">
        <v>132</v>
      </c>
      <c r="E86" s="54" t="s">
        <v>17</v>
      </c>
      <c r="F86" s="54" t="s">
        <v>157</v>
      </c>
      <c r="G86" s="107">
        <f>G87</f>
        <v>16.39796</v>
      </c>
      <c r="H86" s="107">
        <f>H87</f>
        <v>5.09796</v>
      </c>
      <c r="I86" s="329">
        <f t="shared" si="3"/>
        <v>31.088989118158594</v>
      </c>
    </row>
    <row r="87" spans="1:9" ht="15">
      <c r="A87" s="29" t="s">
        <v>160</v>
      </c>
      <c r="B87" s="32">
        <v>951</v>
      </c>
      <c r="C87" s="54" t="s">
        <v>112</v>
      </c>
      <c r="D87" s="54" t="s">
        <v>132</v>
      </c>
      <c r="E87" s="54" t="s">
        <v>17</v>
      </c>
      <c r="F87" s="54" t="s">
        <v>161</v>
      </c>
      <c r="G87" s="107">
        <v>16.39796</v>
      </c>
      <c r="H87" s="107">
        <v>5.09796</v>
      </c>
      <c r="I87" s="329">
        <f t="shared" si="3"/>
        <v>31.088989118158594</v>
      </c>
    </row>
    <row r="88" spans="1:9" ht="60">
      <c r="A88" s="75" t="s">
        <v>306</v>
      </c>
      <c r="B88" s="97">
        <v>951</v>
      </c>
      <c r="C88" s="80" t="s">
        <v>112</v>
      </c>
      <c r="D88" s="80" t="s">
        <v>132</v>
      </c>
      <c r="E88" s="80" t="s">
        <v>18</v>
      </c>
      <c r="F88" s="80" t="s">
        <v>347</v>
      </c>
      <c r="G88" s="115">
        <f>G90</f>
        <v>292</v>
      </c>
      <c r="H88" s="115">
        <f>H90</f>
        <v>280</v>
      </c>
      <c r="I88" s="329">
        <f t="shared" si="3"/>
        <v>95.8904109589041</v>
      </c>
    </row>
    <row r="89" spans="1:9" ht="30">
      <c r="A89" s="29" t="s">
        <v>151</v>
      </c>
      <c r="B89" s="32">
        <v>951</v>
      </c>
      <c r="C89" s="54" t="s">
        <v>112</v>
      </c>
      <c r="D89" s="54" t="s">
        <v>132</v>
      </c>
      <c r="E89" s="54" t="s">
        <v>18</v>
      </c>
      <c r="F89" s="54" t="s">
        <v>121</v>
      </c>
      <c r="G89" s="107">
        <f>G90</f>
        <v>292</v>
      </c>
      <c r="H89" s="107">
        <f>H90</f>
        <v>280</v>
      </c>
      <c r="I89" s="329">
        <f t="shared" si="3"/>
        <v>95.8904109589041</v>
      </c>
    </row>
    <row r="90" spans="1:9" ht="45">
      <c r="A90" s="61" t="s">
        <v>152</v>
      </c>
      <c r="B90" s="32">
        <v>951</v>
      </c>
      <c r="C90" s="54" t="s">
        <v>112</v>
      </c>
      <c r="D90" s="54" t="s">
        <v>132</v>
      </c>
      <c r="E90" s="54" t="s">
        <v>18</v>
      </c>
      <c r="F90" s="54" t="s">
        <v>153</v>
      </c>
      <c r="G90" s="107">
        <v>292</v>
      </c>
      <c r="H90" s="107">
        <v>280</v>
      </c>
      <c r="I90" s="329">
        <f>H90/G90*100</f>
        <v>95.8904109589041</v>
      </c>
    </row>
    <row r="91" spans="1:9" ht="15">
      <c r="A91" s="76" t="s">
        <v>441</v>
      </c>
      <c r="B91" s="97" t="s">
        <v>143</v>
      </c>
      <c r="C91" s="80" t="s">
        <v>112</v>
      </c>
      <c r="D91" s="80" t="s">
        <v>132</v>
      </c>
      <c r="E91" s="80" t="s">
        <v>442</v>
      </c>
      <c r="F91" s="80" t="s">
        <v>347</v>
      </c>
      <c r="G91" s="115">
        <f>G92</f>
        <v>1433.9</v>
      </c>
      <c r="H91" s="115">
        <f>H92</f>
        <v>1416.63214</v>
      </c>
      <c r="I91" s="329">
        <f aca="true" t="shared" si="5" ref="I91:I155">H91/G91*100</f>
        <v>98.79574168352046</v>
      </c>
    </row>
    <row r="92" spans="1:9" ht="30">
      <c r="A92" s="29" t="s">
        <v>151</v>
      </c>
      <c r="B92" s="32" t="s">
        <v>143</v>
      </c>
      <c r="C92" s="54" t="s">
        <v>112</v>
      </c>
      <c r="D92" s="54" t="s">
        <v>132</v>
      </c>
      <c r="E92" s="54" t="s">
        <v>442</v>
      </c>
      <c r="F92" s="54" t="s">
        <v>121</v>
      </c>
      <c r="G92" s="107">
        <f>G93</f>
        <v>1433.9</v>
      </c>
      <c r="H92" s="107">
        <f>H93</f>
        <v>1416.63214</v>
      </c>
      <c r="I92" s="329">
        <f t="shared" si="5"/>
        <v>98.79574168352046</v>
      </c>
    </row>
    <row r="93" spans="1:9" ht="45">
      <c r="A93" s="61" t="s">
        <v>152</v>
      </c>
      <c r="B93" s="32" t="s">
        <v>143</v>
      </c>
      <c r="C93" s="54" t="s">
        <v>112</v>
      </c>
      <c r="D93" s="54" t="s">
        <v>132</v>
      </c>
      <c r="E93" s="54" t="s">
        <v>442</v>
      </c>
      <c r="F93" s="54" t="s">
        <v>153</v>
      </c>
      <c r="G93" s="107">
        <v>1433.9</v>
      </c>
      <c r="H93" s="107">
        <v>1416.63214</v>
      </c>
      <c r="I93" s="329">
        <f t="shared" si="5"/>
        <v>98.79574168352046</v>
      </c>
    </row>
    <row r="94" spans="1:9" ht="15" hidden="1">
      <c r="A94" s="29" t="s">
        <v>156</v>
      </c>
      <c r="B94" s="32" t="s">
        <v>143</v>
      </c>
      <c r="C94" s="54" t="s">
        <v>112</v>
      </c>
      <c r="D94" s="54" t="s">
        <v>132</v>
      </c>
      <c r="E94" s="54" t="s">
        <v>442</v>
      </c>
      <c r="F94" s="54" t="s">
        <v>157</v>
      </c>
      <c r="G94" s="107">
        <f aca="true" t="shared" si="6" ref="G94:G100">H94</f>
        <v>0</v>
      </c>
      <c r="H94" s="107">
        <f>H95</f>
        <v>0</v>
      </c>
      <c r="I94" s="329" t="e">
        <f t="shared" si="5"/>
        <v>#DIV/0!</v>
      </c>
    </row>
    <row r="95" spans="1:9" ht="15" hidden="1">
      <c r="A95" s="311" t="s">
        <v>154</v>
      </c>
      <c r="B95" s="32" t="s">
        <v>143</v>
      </c>
      <c r="C95" s="54" t="s">
        <v>112</v>
      </c>
      <c r="D95" s="54" t="s">
        <v>132</v>
      </c>
      <c r="E95" s="54" t="s">
        <v>442</v>
      </c>
      <c r="F95" s="54" t="s">
        <v>155</v>
      </c>
      <c r="G95" s="107">
        <f t="shared" si="6"/>
        <v>0</v>
      </c>
      <c r="H95" s="107"/>
      <c r="I95" s="329" t="e">
        <f t="shared" si="5"/>
        <v>#DIV/0!</v>
      </c>
    </row>
    <row r="96" spans="1:9" ht="15" hidden="1">
      <c r="A96" s="352" t="s">
        <v>463</v>
      </c>
      <c r="B96" s="97" t="s">
        <v>143</v>
      </c>
      <c r="C96" s="80" t="s">
        <v>112</v>
      </c>
      <c r="D96" s="80" t="s">
        <v>132</v>
      </c>
      <c r="E96" s="80" t="s">
        <v>464</v>
      </c>
      <c r="F96" s="80" t="s">
        <v>347</v>
      </c>
      <c r="G96" s="316">
        <f t="shared" si="6"/>
        <v>0</v>
      </c>
      <c r="H96" s="115">
        <f>H97+H99</f>
        <v>0</v>
      </c>
      <c r="I96" s="329" t="e">
        <f t="shared" si="5"/>
        <v>#DIV/0!</v>
      </c>
    </row>
    <row r="97" spans="1:9" ht="30" hidden="1">
      <c r="A97" s="29" t="s">
        <v>151</v>
      </c>
      <c r="B97" s="32" t="s">
        <v>143</v>
      </c>
      <c r="C97" s="54" t="s">
        <v>112</v>
      </c>
      <c r="D97" s="54" t="s">
        <v>132</v>
      </c>
      <c r="E97" s="54" t="s">
        <v>464</v>
      </c>
      <c r="F97" s="54" t="s">
        <v>121</v>
      </c>
      <c r="G97" s="312">
        <f t="shared" si="6"/>
        <v>0</v>
      </c>
      <c r="H97" s="107">
        <f>H98</f>
        <v>0</v>
      </c>
      <c r="I97" s="329" t="e">
        <f t="shared" si="5"/>
        <v>#DIV/0!</v>
      </c>
    </row>
    <row r="98" spans="1:9" ht="45" hidden="1">
      <c r="A98" s="61" t="s">
        <v>152</v>
      </c>
      <c r="B98" s="32" t="s">
        <v>143</v>
      </c>
      <c r="C98" s="54" t="s">
        <v>112</v>
      </c>
      <c r="D98" s="54" t="s">
        <v>132</v>
      </c>
      <c r="E98" s="54" t="s">
        <v>464</v>
      </c>
      <c r="F98" s="54" t="s">
        <v>153</v>
      </c>
      <c r="G98" s="312">
        <f t="shared" si="6"/>
        <v>0</v>
      </c>
      <c r="H98" s="107"/>
      <c r="I98" s="329" t="e">
        <f t="shared" si="5"/>
        <v>#DIV/0!</v>
      </c>
    </row>
    <row r="99" spans="1:9" ht="15" hidden="1">
      <c r="A99" s="29" t="s">
        <v>156</v>
      </c>
      <c r="B99" s="32" t="s">
        <v>143</v>
      </c>
      <c r="C99" s="54" t="s">
        <v>112</v>
      </c>
      <c r="D99" s="54" t="s">
        <v>132</v>
      </c>
      <c r="E99" s="54" t="s">
        <v>464</v>
      </c>
      <c r="F99" s="54" t="s">
        <v>157</v>
      </c>
      <c r="G99" s="312">
        <f t="shared" si="6"/>
        <v>0</v>
      </c>
      <c r="H99" s="107">
        <f>H100</f>
        <v>0</v>
      </c>
      <c r="I99" s="329" t="e">
        <f t="shared" si="5"/>
        <v>#DIV/0!</v>
      </c>
    </row>
    <row r="100" spans="1:9" ht="15" hidden="1">
      <c r="A100" s="311" t="s">
        <v>154</v>
      </c>
      <c r="B100" s="32" t="s">
        <v>143</v>
      </c>
      <c r="C100" s="54" t="s">
        <v>112</v>
      </c>
      <c r="D100" s="54" t="s">
        <v>132</v>
      </c>
      <c r="E100" s="54" t="s">
        <v>464</v>
      </c>
      <c r="F100" s="54" t="s">
        <v>155</v>
      </c>
      <c r="G100" s="312">
        <f t="shared" si="6"/>
        <v>0</v>
      </c>
      <c r="H100" s="107"/>
      <c r="I100" s="329" t="e">
        <f t="shared" si="5"/>
        <v>#DIV/0!</v>
      </c>
    </row>
    <row r="101" spans="1:9" ht="60.75" customHeight="1">
      <c r="A101" s="346" t="s">
        <v>524</v>
      </c>
      <c r="B101" s="347" t="s">
        <v>143</v>
      </c>
      <c r="C101" s="108" t="s">
        <v>112</v>
      </c>
      <c r="D101" s="108" t="s">
        <v>132</v>
      </c>
      <c r="E101" s="108" t="s">
        <v>262</v>
      </c>
      <c r="F101" s="108" t="s">
        <v>347</v>
      </c>
      <c r="G101" s="313">
        <f>G102</f>
        <v>899.07583</v>
      </c>
      <c r="H101" s="313">
        <f>H102</f>
        <v>794.6214600000001</v>
      </c>
      <c r="I101" s="329">
        <f t="shared" si="5"/>
        <v>88.3820289107316</v>
      </c>
    </row>
    <row r="102" spans="1:9" ht="30">
      <c r="A102" s="29" t="s">
        <v>431</v>
      </c>
      <c r="B102" s="32" t="s">
        <v>143</v>
      </c>
      <c r="C102" s="54" t="s">
        <v>112</v>
      </c>
      <c r="D102" s="54" t="s">
        <v>132</v>
      </c>
      <c r="E102" s="54" t="s">
        <v>7</v>
      </c>
      <c r="F102" s="54" t="s">
        <v>347</v>
      </c>
      <c r="G102" s="312">
        <f>G103</f>
        <v>899.07583</v>
      </c>
      <c r="H102" s="312">
        <f>H103</f>
        <v>794.6214600000001</v>
      </c>
      <c r="I102" s="329">
        <f t="shared" si="5"/>
        <v>88.3820289107316</v>
      </c>
    </row>
    <row r="103" spans="1:9" ht="45">
      <c r="A103" s="29" t="s">
        <v>116</v>
      </c>
      <c r="B103" s="32" t="s">
        <v>143</v>
      </c>
      <c r="C103" s="54" t="s">
        <v>112</v>
      </c>
      <c r="D103" s="54" t="s">
        <v>132</v>
      </c>
      <c r="E103" s="54" t="s">
        <v>8</v>
      </c>
      <c r="F103" s="54" t="s">
        <v>347</v>
      </c>
      <c r="G103" s="312">
        <f>G104+G106</f>
        <v>899.07583</v>
      </c>
      <c r="H103" s="312">
        <f>H104+H106</f>
        <v>794.6214600000001</v>
      </c>
      <c r="I103" s="329">
        <f t="shared" si="5"/>
        <v>88.3820289107316</v>
      </c>
    </row>
    <row r="104" spans="1:9" ht="90">
      <c r="A104" s="29" t="s">
        <v>148</v>
      </c>
      <c r="B104" s="32" t="s">
        <v>143</v>
      </c>
      <c r="C104" s="54" t="s">
        <v>112</v>
      </c>
      <c r="D104" s="54" t="s">
        <v>132</v>
      </c>
      <c r="E104" s="54" t="s">
        <v>523</v>
      </c>
      <c r="F104" s="54" t="s">
        <v>117</v>
      </c>
      <c r="G104" s="312">
        <f>G105</f>
        <v>532.3799</v>
      </c>
      <c r="H104" s="312">
        <f>H105</f>
        <v>502.6358</v>
      </c>
      <c r="I104" s="329">
        <f t="shared" si="5"/>
        <v>94.41299342818915</v>
      </c>
    </row>
    <row r="105" spans="1:9" ht="30">
      <c r="A105" s="29" t="s">
        <v>150</v>
      </c>
      <c r="B105" s="32" t="s">
        <v>143</v>
      </c>
      <c r="C105" s="54" t="s">
        <v>112</v>
      </c>
      <c r="D105" s="54" t="s">
        <v>132</v>
      </c>
      <c r="E105" s="54" t="s">
        <v>523</v>
      </c>
      <c r="F105" s="54" t="s">
        <v>149</v>
      </c>
      <c r="G105" s="312">
        <v>532.3799</v>
      </c>
      <c r="H105" s="107">
        <v>502.6358</v>
      </c>
      <c r="I105" s="329">
        <f t="shared" si="5"/>
        <v>94.41299342818915</v>
      </c>
    </row>
    <row r="106" spans="1:9" ht="30">
      <c r="A106" s="29" t="s">
        <v>151</v>
      </c>
      <c r="B106" s="32" t="s">
        <v>143</v>
      </c>
      <c r="C106" s="54" t="s">
        <v>112</v>
      </c>
      <c r="D106" s="54" t="s">
        <v>132</v>
      </c>
      <c r="E106" s="54" t="s">
        <v>523</v>
      </c>
      <c r="F106" s="54" t="s">
        <v>121</v>
      </c>
      <c r="G106" s="312">
        <f>G107</f>
        <v>366.69593</v>
      </c>
      <c r="H106" s="312">
        <f>H107</f>
        <v>291.98566</v>
      </c>
      <c r="I106" s="329">
        <f t="shared" si="5"/>
        <v>79.62609784079142</v>
      </c>
    </row>
    <row r="107" spans="1:9" ht="45">
      <c r="A107" s="61" t="s">
        <v>152</v>
      </c>
      <c r="B107" s="32" t="s">
        <v>143</v>
      </c>
      <c r="C107" s="54" t="s">
        <v>112</v>
      </c>
      <c r="D107" s="54" t="s">
        <v>132</v>
      </c>
      <c r="E107" s="54" t="s">
        <v>523</v>
      </c>
      <c r="F107" s="54" t="s">
        <v>153</v>
      </c>
      <c r="G107" s="312">
        <v>366.69593</v>
      </c>
      <c r="H107" s="107">
        <v>291.98566</v>
      </c>
      <c r="I107" s="329">
        <f t="shared" si="5"/>
        <v>79.62609784079142</v>
      </c>
    </row>
    <row r="108" spans="1:9" ht="45">
      <c r="A108" s="76" t="s">
        <v>595</v>
      </c>
      <c r="B108" s="97" t="s">
        <v>143</v>
      </c>
      <c r="C108" s="80" t="s">
        <v>112</v>
      </c>
      <c r="D108" s="80" t="s">
        <v>132</v>
      </c>
      <c r="E108" s="80" t="s">
        <v>596</v>
      </c>
      <c r="F108" s="80" t="s">
        <v>347</v>
      </c>
      <c r="G108" s="316">
        <f>G109</f>
        <v>48</v>
      </c>
      <c r="H108" s="316">
        <f>H109</f>
        <v>48</v>
      </c>
      <c r="I108" s="329">
        <f t="shared" si="5"/>
        <v>100</v>
      </c>
    </row>
    <row r="109" spans="1:9" ht="30">
      <c r="A109" s="29" t="s">
        <v>151</v>
      </c>
      <c r="B109" s="32" t="s">
        <v>143</v>
      </c>
      <c r="C109" s="54" t="s">
        <v>112</v>
      </c>
      <c r="D109" s="54" t="s">
        <v>132</v>
      </c>
      <c r="E109" s="54" t="s">
        <v>596</v>
      </c>
      <c r="F109" s="54" t="s">
        <v>121</v>
      </c>
      <c r="G109" s="312">
        <f>G110</f>
        <v>48</v>
      </c>
      <c r="H109" s="107">
        <f>H110</f>
        <v>48</v>
      </c>
      <c r="I109" s="329">
        <f t="shared" si="5"/>
        <v>100</v>
      </c>
    </row>
    <row r="110" spans="1:9" ht="45">
      <c r="A110" s="61" t="s">
        <v>152</v>
      </c>
      <c r="B110" s="32" t="s">
        <v>143</v>
      </c>
      <c r="C110" s="54" t="s">
        <v>112</v>
      </c>
      <c r="D110" s="54" t="s">
        <v>132</v>
      </c>
      <c r="E110" s="54" t="s">
        <v>596</v>
      </c>
      <c r="F110" s="54" t="s">
        <v>153</v>
      </c>
      <c r="G110" s="312">
        <v>48</v>
      </c>
      <c r="H110" s="312">
        <v>48</v>
      </c>
      <c r="I110" s="329">
        <f t="shared" si="5"/>
        <v>100</v>
      </c>
    </row>
    <row r="111" spans="1:9" ht="45">
      <c r="A111" s="75" t="s">
        <v>407</v>
      </c>
      <c r="B111" s="97">
        <v>951</v>
      </c>
      <c r="C111" s="80" t="s">
        <v>112</v>
      </c>
      <c r="D111" s="80" t="s">
        <v>132</v>
      </c>
      <c r="E111" s="80" t="s">
        <v>25</v>
      </c>
      <c r="F111" s="80" t="s">
        <v>347</v>
      </c>
      <c r="G111" s="115">
        <f>G115+G126</f>
        <v>7432.83168</v>
      </c>
      <c r="H111" s="115">
        <f>H115+H126</f>
        <v>477.94077</v>
      </c>
      <c r="I111" s="329">
        <f t="shared" si="5"/>
        <v>6.430130407581085</v>
      </c>
    </row>
    <row r="112" spans="1:9" ht="30" hidden="1">
      <c r="A112" s="98" t="s">
        <v>27</v>
      </c>
      <c r="B112" s="97">
        <v>951</v>
      </c>
      <c r="C112" s="80" t="s">
        <v>112</v>
      </c>
      <c r="D112" s="80" t="s">
        <v>132</v>
      </c>
      <c r="E112" s="32" t="s">
        <v>26</v>
      </c>
      <c r="F112" s="54" t="s">
        <v>347</v>
      </c>
      <c r="G112" s="107" t="e">
        <f>H112+I112</f>
        <v>#DIV/0!</v>
      </c>
      <c r="H112" s="107">
        <f>H113</f>
        <v>0</v>
      </c>
      <c r="I112" s="329" t="e">
        <f t="shared" si="5"/>
        <v>#DIV/0!</v>
      </c>
    </row>
    <row r="113" spans="1:9" ht="30" hidden="1">
      <c r="A113" s="29" t="s">
        <v>151</v>
      </c>
      <c r="B113" s="97">
        <v>951</v>
      </c>
      <c r="C113" s="80" t="s">
        <v>112</v>
      </c>
      <c r="D113" s="80" t="s">
        <v>132</v>
      </c>
      <c r="E113" s="32" t="s">
        <v>26</v>
      </c>
      <c r="F113" s="54" t="s">
        <v>121</v>
      </c>
      <c r="G113" s="107" t="e">
        <f>H113+I113</f>
        <v>#DIV/0!</v>
      </c>
      <c r="H113" s="107">
        <f>H114</f>
        <v>0</v>
      </c>
      <c r="I113" s="329" t="e">
        <f t="shared" si="5"/>
        <v>#DIV/0!</v>
      </c>
    </row>
    <row r="114" spans="1:9" ht="45" hidden="1">
      <c r="A114" s="61" t="s">
        <v>152</v>
      </c>
      <c r="B114" s="97">
        <v>951</v>
      </c>
      <c r="C114" s="80" t="s">
        <v>112</v>
      </c>
      <c r="D114" s="80" t="s">
        <v>132</v>
      </c>
      <c r="E114" s="32" t="s">
        <v>26</v>
      </c>
      <c r="F114" s="54" t="s">
        <v>153</v>
      </c>
      <c r="G114" s="107" t="e">
        <f>H114+I114</f>
        <v>#DIV/0!</v>
      </c>
      <c r="H114" s="107"/>
      <c r="I114" s="329" t="e">
        <f t="shared" si="5"/>
        <v>#DIV/0!</v>
      </c>
    </row>
    <row r="115" spans="1:9" ht="45">
      <c r="A115" s="317" t="s">
        <v>244</v>
      </c>
      <c r="B115" s="97">
        <v>951</v>
      </c>
      <c r="C115" s="80" t="s">
        <v>112</v>
      </c>
      <c r="D115" s="80" t="s">
        <v>132</v>
      </c>
      <c r="E115" s="32" t="s">
        <v>43</v>
      </c>
      <c r="F115" s="54" t="s">
        <v>347</v>
      </c>
      <c r="G115" s="312">
        <f>G116+G123</f>
        <v>7349.83168</v>
      </c>
      <c r="H115" s="312">
        <f>H116+H123</f>
        <v>395</v>
      </c>
      <c r="I115" s="329">
        <f t="shared" si="5"/>
        <v>5.3742727343655305</v>
      </c>
    </row>
    <row r="116" spans="1:9" ht="60">
      <c r="A116" s="75" t="s">
        <v>597</v>
      </c>
      <c r="B116" s="97">
        <v>951</v>
      </c>
      <c r="C116" s="80" t="s">
        <v>112</v>
      </c>
      <c r="D116" s="80" t="s">
        <v>132</v>
      </c>
      <c r="E116" s="80" t="s">
        <v>262</v>
      </c>
      <c r="F116" s="80" t="s">
        <v>347</v>
      </c>
      <c r="G116" s="316">
        <f>G117+G122</f>
        <v>6954.83168</v>
      </c>
      <c r="H116" s="316">
        <f>H117+H122</f>
        <v>0</v>
      </c>
      <c r="I116" s="329">
        <f t="shared" si="5"/>
        <v>0</v>
      </c>
    </row>
    <row r="117" spans="1:9" ht="89.25">
      <c r="A117" s="29" t="s">
        <v>668</v>
      </c>
      <c r="B117" s="32">
        <v>951</v>
      </c>
      <c r="C117" s="54" t="s">
        <v>112</v>
      </c>
      <c r="D117" s="54" t="s">
        <v>132</v>
      </c>
      <c r="E117" s="54" t="s">
        <v>599</v>
      </c>
      <c r="F117" s="54" t="s">
        <v>347</v>
      </c>
      <c r="G117" s="312">
        <f>G118</f>
        <v>6930</v>
      </c>
      <c r="H117" s="312">
        <f>H118</f>
        <v>0</v>
      </c>
      <c r="I117" s="329">
        <f t="shared" si="5"/>
        <v>0</v>
      </c>
    </row>
    <row r="118" spans="1:9" ht="45">
      <c r="A118" s="61" t="s">
        <v>514</v>
      </c>
      <c r="B118" s="32">
        <v>951</v>
      </c>
      <c r="C118" s="54" t="s">
        <v>112</v>
      </c>
      <c r="D118" s="54" t="s">
        <v>132</v>
      </c>
      <c r="E118" s="54" t="s">
        <v>599</v>
      </c>
      <c r="F118" s="54" t="s">
        <v>512</v>
      </c>
      <c r="G118" s="312">
        <f>G119</f>
        <v>6930</v>
      </c>
      <c r="H118" s="312">
        <f>H119</f>
        <v>0</v>
      </c>
      <c r="I118" s="329">
        <f t="shared" si="5"/>
        <v>0</v>
      </c>
    </row>
    <row r="119" spans="1:9" ht="15">
      <c r="A119" s="61" t="s">
        <v>515</v>
      </c>
      <c r="B119" s="32">
        <v>951</v>
      </c>
      <c r="C119" s="54" t="s">
        <v>112</v>
      </c>
      <c r="D119" s="54" t="s">
        <v>132</v>
      </c>
      <c r="E119" s="54" t="s">
        <v>599</v>
      </c>
      <c r="F119" s="54" t="s">
        <v>513</v>
      </c>
      <c r="G119" s="312">
        <v>6930</v>
      </c>
      <c r="H119" s="107">
        <v>0</v>
      </c>
      <c r="I119" s="329">
        <f t="shared" si="5"/>
        <v>0</v>
      </c>
    </row>
    <row r="120" spans="1:9" ht="105">
      <c r="A120" s="29" t="s">
        <v>669</v>
      </c>
      <c r="B120" s="32">
        <v>951</v>
      </c>
      <c r="C120" s="54" t="s">
        <v>112</v>
      </c>
      <c r="D120" s="54" t="s">
        <v>132</v>
      </c>
      <c r="E120" s="54" t="s">
        <v>601</v>
      </c>
      <c r="F120" s="54" t="s">
        <v>347</v>
      </c>
      <c r="G120" s="312">
        <f>G121</f>
        <v>24.83168</v>
      </c>
      <c r="H120" s="312">
        <f>H121</f>
        <v>0</v>
      </c>
      <c r="I120" s="329">
        <f t="shared" si="5"/>
        <v>0</v>
      </c>
    </row>
    <row r="121" spans="1:9" ht="45">
      <c r="A121" s="61" t="s">
        <v>514</v>
      </c>
      <c r="B121" s="32">
        <v>951</v>
      </c>
      <c r="C121" s="54" t="s">
        <v>112</v>
      </c>
      <c r="D121" s="54" t="s">
        <v>132</v>
      </c>
      <c r="E121" s="54" t="s">
        <v>601</v>
      </c>
      <c r="F121" s="54" t="s">
        <v>512</v>
      </c>
      <c r="G121" s="312">
        <f>G122</f>
        <v>24.83168</v>
      </c>
      <c r="H121" s="312">
        <v>0</v>
      </c>
      <c r="I121" s="329">
        <f t="shared" si="5"/>
        <v>0</v>
      </c>
    </row>
    <row r="122" spans="1:9" ht="15">
      <c r="A122" s="61" t="s">
        <v>515</v>
      </c>
      <c r="B122" s="32">
        <v>951</v>
      </c>
      <c r="C122" s="54" t="s">
        <v>112</v>
      </c>
      <c r="D122" s="54" t="s">
        <v>132</v>
      </c>
      <c r="E122" s="54" t="s">
        <v>601</v>
      </c>
      <c r="F122" s="54" t="s">
        <v>513</v>
      </c>
      <c r="G122" s="312">
        <v>24.83168</v>
      </c>
      <c r="H122" s="312">
        <v>0</v>
      </c>
      <c r="I122" s="329">
        <f t="shared" si="5"/>
        <v>0</v>
      </c>
    </row>
    <row r="123" spans="1:9" ht="103.5" customHeight="1">
      <c r="A123" s="75" t="s">
        <v>602</v>
      </c>
      <c r="B123" s="97">
        <v>951</v>
      </c>
      <c r="C123" s="80" t="s">
        <v>112</v>
      </c>
      <c r="D123" s="80" t="s">
        <v>132</v>
      </c>
      <c r="E123" s="80" t="s">
        <v>603</v>
      </c>
      <c r="F123" s="80" t="s">
        <v>347</v>
      </c>
      <c r="G123" s="316">
        <f>G124</f>
        <v>395</v>
      </c>
      <c r="H123" s="316">
        <f>H124</f>
        <v>395</v>
      </c>
      <c r="I123" s="329">
        <f t="shared" si="5"/>
        <v>100</v>
      </c>
    </row>
    <row r="124" spans="1:9" ht="30">
      <c r="A124" s="29" t="s">
        <v>151</v>
      </c>
      <c r="B124" s="32">
        <v>951</v>
      </c>
      <c r="C124" s="54" t="s">
        <v>112</v>
      </c>
      <c r="D124" s="54" t="s">
        <v>132</v>
      </c>
      <c r="E124" s="54" t="s">
        <v>603</v>
      </c>
      <c r="F124" s="54" t="s">
        <v>121</v>
      </c>
      <c r="G124" s="312">
        <f>G125</f>
        <v>395</v>
      </c>
      <c r="H124" s="312">
        <f>H125</f>
        <v>395</v>
      </c>
      <c r="I124" s="329">
        <f t="shared" si="5"/>
        <v>100</v>
      </c>
    </row>
    <row r="125" spans="1:9" ht="45">
      <c r="A125" s="61" t="s">
        <v>152</v>
      </c>
      <c r="B125" s="32">
        <v>951</v>
      </c>
      <c r="C125" s="54" t="s">
        <v>112</v>
      </c>
      <c r="D125" s="54" t="s">
        <v>132</v>
      </c>
      <c r="E125" s="54" t="s">
        <v>603</v>
      </c>
      <c r="F125" s="54" t="s">
        <v>153</v>
      </c>
      <c r="G125" s="312">
        <v>395</v>
      </c>
      <c r="H125" s="312">
        <v>395</v>
      </c>
      <c r="I125" s="329">
        <f t="shared" si="5"/>
        <v>100</v>
      </c>
    </row>
    <row r="126" spans="1:9" ht="30">
      <c r="A126" s="98" t="s">
        <v>30</v>
      </c>
      <c r="B126" s="32">
        <v>951</v>
      </c>
      <c r="C126" s="54" t="s">
        <v>112</v>
      </c>
      <c r="D126" s="54" t="s">
        <v>132</v>
      </c>
      <c r="E126" s="54" t="s">
        <v>31</v>
      </c>
      <c r="F126" s="54" t="s">
        <v>347</v>
      </c>
      <c r="G126" s="107">
        <f>G127</f>
        <v>83</v>
      </c>
      <c r="H126" s="107">
        <f>H127</f>
        <v>82.94077</v>
      </c>
      <c r="I126" s="329">
        <f t="shared" si="5"/>
        <v>99.92863855421686</v>
      </c>
    </row>
    <row r="127" spans="1:9" ht="29.25" customHeight="1">
      <c r="A127" s="29" t="s">
        <v>151</v>
      </c>
      <c r="B127" s="32">
        <v>951</v>
      </c>
      <c r="C127" s="54" t="s">
        <v>112</v>
      </c>
      <c r="D127" s="54" t="s">
        <v>132</v>
      </c>
      <c r="E127" s="54" t="s">
        <v>604</v>
      </c>
      <c r="F127" s="54" t="s">
        <v>121</v>
      </c>
      <c r="G127" s="107">
        <f>G128</f>
        <v>83</v>
      </c>
      <c r="H127" s="107">
        <f>H128</f>
        <v>82.94077</v>
      </c>
      <c r="I127" s="329">
        <f t="shared" si="5"/>
        <v>99.92863855421686</v>
      </c>
    </row>
    <row r="128" spans="1:9" ht="43.5" customHeight="1">
      <c r="A128" s="61" t="s">
        <v>152</v>
      </c>
      <c r="B128" s="32">
        <v>951</v>
      </c>
      <c r="C128" s="54" t="s">
        <v>112</v>
      </c>
      <c r="D128" s="54" t="s">
        <v>132</v>
      </c>
      <c r="E128" s="54" t="s">
        <v>604</v>
      </c>
      <c r="F128" s="54" t="s">
        <v>153</v>
      </c>
      <c r="G128" s="107">
        <v>83</v>
      </c>
      <c r="H128" s="107">
        <v>82.94077</v>
      </c>
      <c r="I128" s="329">
        <f t="shared" si="5"/>
        <v>99.92863855421686</v>
      </c>
    </row>
    <row r="129" spans="1:9" ht="75">
      <c r="A129" s="75" t="s">
        <v>416</v>
      </c>
      <c r="B129" s="97">
        <v>951</v>
      </c>
      <c r="C129" s="80" t="s">
        <v>112</v>
      </c>
      <c r="D129" s="80" t="s">
        <v>132</v>
      </c>
      <c r="E129" s="80" t="s">
        <v>32</v>
      </c>
      <c r="F129" s="80" t="s">
        <v>347</v>
      </c>
      <c r="G129" s="115">
        <f>G130</f>
        <v>43</v>
      </c>
      <c r="H129" s="115">
        <f>H130</f>
        <v>43</v>
      </c>
      <c r="I129" s="329">
        <f t="shared" si="5"/>
        <v>100</v>
      </c>
    </row>
    <row r="130" spans="1:9" ht="33.75" customHeight="1">
      <c r="A130" s="29" t="s">
        <v>151</v>
      </c>
      <c r="B130" s="32">
        <v>951</v>
      </c>
      <c r="C130" s="54" t="s">
        <v>112</v>
      </c>
      <c r="D130" s="54" t="s">
        <v>132</v>
      </c>
      <c r="E130" s="54" t="s">
        <v>34</v>
      </c>
      <c r="F130" s="54" t="s">
        <v>121</v>
      </c>
      <c r="G130" s="107">
        <f>G131</f>
        <v>43</v>
      </c>
      <c r="H130" s="107">
        <f>H131</f>
        <v>43</v>
      </c>
      <c r="I130" s="329">
        <f t="shared" si="5"/>
        <v>100</v>
      </c>
    </row>
    <row r="131" spans="1:9" ht="45">
      <c r="A131" s="61" t="s">
        <v>152</v>
      </c>
      <c r="B131" s="32">
        <v>951</v>
      </c>
      <c r="C131" s="54" t="s">
        <v>112</v>
      </c>
      <c r="D131" s="54" t="s">
        <v>132</v>
      </c>
      <c r="E131" s="54" t="s">
        <v>34</v>
      </c>
      <c r="F131" s="54" t="s">
        <v>153</v>
      </c>
      <c r="G131" s="107">
        <v>43</v>
      </c>
      <c r="H131" s="107">
        <v>43</v>
      </c>
      <c r="I131" s="329">
        <f t="shared" si="5"/>
        <v>100</v>
      </c>
    </row>
    <row r="132" spans="1:9" ht="75">
      <c r="A132" s="76" t="s">
        <v>467</v>
      </c>
      <c r="B132" s="97" t="s">
        <v>143</v>
      </c>
      <c r="C132" s="80" t="s">
        <v>112</v>
      </c>
      <c r="D132" s="80" t="s">
        <v>132</v>
      </c>
      <c r="E132" s="80" t="s">
        <v>470</v>
      </c>
      <c r="F132" s="80" t="s">
        <v>347</v>
      </c>
      <c r="G132" s="316">
        <f>G133</f>
        <v>15</v>
      </c>
      <c r="H132" s="316">
        <f>H133</f>
        <v>8</v>
      </c>
      <c r="I132" s="329">
        <f t="shared" si="5"/>
        <v>53.333333333333336</v>
      </c>
    </row>
    <row r="133" spans="1:9" ht="48" customHeight="1">
      <c r="A133" s="61" t="s">
        <v>468</v>
      </c>
      <c r="B133" s="97" t="s">
        <v>143</v>
      </c>
      <c r="C133" s="54" t="s">
        <v>112</v>
      </c>
      <c r="D133" s="54" t="s">
        <v>132</v>
      </c>
      <c r="E133" s="54" t="s">
        <v>471</v>
      </c>
      <c r="F133" s="54" t="s">
        <v>121</v>
      </c>
      <c r="G133" s="312">
        <f>G134</f>
        <v>15</v>
      </c>
      <c r="H133" s="312">
        <f>H134</f>
        <v>8</v>
      </c>
      <c r="I133" s="329">
        <f t="shared" si="5"/>
        <v>53.333333333333336</v>
      </c>
    </row>
    <row r="134" spans="1:9" ht="15">
      <c r="A134" s="61" t="s">
        <v>469</v>
      </c>
      <c r="B134" s="97" t="s">
        <v>143</v>
      </c>
      <c r="C134" s="54" t="s">
        <v>112</v>
      </c>
      <c r="D134" s="54" t="s">
        <v>132</v>
      </c>
      <c r="E134" s="54" t="s">
        <v>472</v>
      </c>
      <c r="F134" s="54" t="s">
        <v>153</v>
      </c>
      <c r="G134" s="312">
        <v>15</v>
      </c>
      <c r="H134" s="107">
        <v>8</v>
      </c>
      <c r="I134" s="329">
        <f t="shared" si="5"/>
        <v>53.333333333333336</v>
      </c>
    </row>
    <row r="135" spans="1:9" ht="15" hidden="1">
      <c r="A135" s="95" t="s">
        <v>309</v>
      </c>
      <c r="B135" s="97" t="s">
        <v>143</v>
      </c>
      <c r="C135" s="54" t="s">
        <v>112</v>
      </c>
      <c r="D135" s="54" t="s">
        <v>132</v>
      </c>
      <c r="E135" s="92" t="s">
        <v>262</v>
      </c>
      <c r="F135" s="92" t="s">
        <v>347</v>
      </c>
      <c r="G135" s="310" t="e">
        <f aca="true" t="shared" si="7" ref="G135:G144">H135+I135</f>
        <v>#DIV/0!</v>
      </c>
      <c r="H135" s="310">
        <f>H136</f>
        <v>0</v>
      </c>
      <c r="I135" s="329" t="e">
        <f t="shared" si="5"/>
        <v>#DIV/0!</v>
      </c>
    </row>
    <row r="136" spans="1:9" ht="75" hidden="1">
      <c r="A136" s="75" t="s">
        <v>465</v>
      </c>
      <c r="B136" s="97" t="s">
        <v>143</v>
      </c>
      <c r="C136" s="54" t="s">
        <v>112</v>
      </c>
      <c r="D136" s="54" t="s">
        <v>132</v>
      </c>
      <c r="E136" s="54" t="s">
        <v>262</v>
      </c>
      <c r="F136" s="54" t="s">
        <v>347</v>
      </c>
      <c r="G136" s="107" t="e">
        <f t="shared" si="7"/>
        <v>#DIV/0!</v>
      </c>
      <c r="H136" s="107">
        <f>H137</f>
        <v>0</v>
      </c>
      <c r="I136" s="329" t="e">
        <f t="shared" si="5"/>
        <v>#DIV/0!</v>
      </c>
    </row>
    <row r="137" spans="1:9" ht="45" hidden="1">
      <c r="A137" s="29" t="s">
        <v>310</v>
      </c>
      <c r="B137" s="97" t="s">
        <v>143</v>
      </c>
      <c r="C137" s="54" t="s">
        <v>112</v>
      </c>
      <c r="D137" s="54" t="s">
        <v>132</v>
      </c>
      <c r="E137" s="54" t="s">
        <v>450</v>
      </c>
      <c r="F137" s="54" t="s">
        <v>347</v>
      </c>
      <c r="G137" s="107">
        <f t="shared" si="7"/>
        <v>0</v>
      </c>
      <c r="H137" s="107">
        <f>H138</f>
        <v>0</v>
      </c>
      <c r="I137" s="329" t="e">
        <f t="shared" si="5"/>
        <v>#DIV/0!</v>
      </c>
    </row>
    <row r="138" spans="1:9" ht="15" hidden="1">
      <c r="A138" s="29" t="s">
        <v>162</v>
      </c>
      <c r="B138" s="97" t="s">
        <v>143</v>
      </c>
      <c r="C138" s="54" t="s">
        <v>112</v>
      </c>
      <c r="D138" s="54" t="s">
        <v>132</v>
      </c>
      <c r="E138" s="54" t="s">
        <v>450</v>
      </c>
      <c r="F138" s="54" t="s">
        <v>163</v>
      </c>
      <c r="G138" s="107" t="e">
        <f t="shared" si="7"/>
        <v>#DIV/0!</v>
      </c>
      <c r="H138" s="107">
        <f>H139</f>
        <v>0</v>
      </c>
      <c r="I138" s="329" t="e">
        <f t="shared" si="5"/>
        <v>#DIV/0!</v>
      </c>
    </row>
    <row r="139" spans="1:9" ht="15" hidden="1">
      <c r="A139" s="29" t="s">
        <v>133</v>
      </c>
      <c r="B139" s="97" t="s">
        <v>143</v>
      </c>
      <c r="C139" s="54" t="s">
        <v>112</v>
      </c>
      <c r="D139" s="54" t="s">
        <v>132</v>
      </c>
      <c r="E139" s="54" t="s">
        <v>450</v>
      </c>
      <c r="F139" s="54" t="s">
        <v>311</v>
      </c>
      <c r="G139" s="107">
        <f t="shared" si="7"/>
        <v>0</v>
      </c>
      <c r="H139" s="107"/>
      <c r="I139" s="329" t="e">
        <f t="shared" si="5"/>
        <v>#DIV/0!</v>
      </c>
    </row>
    <row r="140" spans="1:9" ht="42.75" hidden="1">
      <c r="A140" s="95" t="s">
        <v>312</v>
      </c>
      <c r="B140" s="97" t="s">
        <v>143</v>
      </c>
      <c r="C140" s="54" t="s">
        <v>112</v>
      </c>
      <c r="D140" s="54" t="s">
        <v>132</v>
      </c>
      <c r="E140" s="92" t="s">
        <v>262</v>
      </c>
      <c r="F140" s="92" t="s">
        <v>347</v>
      </c>
      <c r="G140" s="310" t="e">
        <f t="shared" si="7"/>
        <v>#DIV/0!</v>
      </c>
      <c r="H140" s="310">
        <f>H141</f>
        <v>0</v>
      </c>
      <c r="I140" s="329" t="e">
        <f t="shared" si="5"/>
        <v>#DIV/0!</v>
      </c>
    </row>
    <row r="141" spans="1:9" ht="43.5" customHeight="1" hidden="1">
      <c r="A141" s="29" t="s">
        <v>313</v>
      </c>
      <c r="B141" s="97" t="s">
        <v>143</v>
      </c>
      <c r="C141" s="54" t="s">
        <v>112</v>
      </c>
      <c r="D141" s="54" t="s">
        <v>132</v>
      </c>
      <c r="E141" s="54" t="s">
        <v>262</v>
      </c>
      <c r="F141" s="54" t="s">
        <v>347</v>
      </c>
      <c r="G141" s="107" t="e">
        <f t="shared" si="7"/>
        <v>#DIV/0!</v>
      </c>
      <c r="H141" s="107">
        <f>H142</f>
        <v>0</v>
      </c>
      <c r="I141" s="329" t="e">
        <f t="shared" si="5"/>
        <v>#DIV/0!</v>
      </c>
    </row>
    <row r="142" spans="1:9" ht="43.5" customHeight="1" hidden="1">
      <c r="A142" s="29" t="s">
        <v>315</v>
      </c>
      <c r="B142" s="97" t="s">
        <v>143</v>
      </c>
      <c r="C142" s="54" t="s">
        <v>112</v>
      </c>
      <c r="D142" s="54" t="s">
        <v>132</v>
      </c>
      <c r="E142" s="54" t="s">
        <v>19</v>
      </c>
      <c r="F142" s="54" t="s">
        <v>347</v>
      </c>
      <c r="G142" s="107">
        <f t="shared" si="7"/>
        <v>0</v>
      </c>
      <c r="H142" s="107">
        <f>H143</f>
        <v>0</v>
      </c>
      <c r="I142" s="329" t="e">
        <f t="shared" si="5"/>
        <v>#DIV/0!</v>
      </c>
    </row>
    <row r="143" spans="1:9" ht="31.5" customHeight="1" hidden="1">
      <c r="A143" s="29" t="s">
        <v>151</v>
      </c>
      <c r="B143" s="97" t="s">
        <v>143</v>
      </c>
      <c r="C143" s="54" t="s">
        <v>112</v>
      </c>
      <c r="D143" s="54" t="s">
        <v>132</v>
      </c>
      <c r="E143" s="54" t="s">
        <v>19</v>
      </c>
      <c r="F143" s="54" t="s">
        <v>121</v>
      </c>
      <c r="G143" s="107">
        <f t="shared" si="7"/>
        <v>0</v>
      </c>
      <c r="H143" s="107">
        <f>H144</f>
        <v>0</v>
      </c>
      <c r="I143" s="329" t="e">
        <f t="shared" si="5"/>
        <v>#DIV/0!</v>
      </c>
    </row>
    <row r="144" spans="1:9" ht="43.5" customHeight="1" hidden="1">
      <c r="A144" s="61" t="s">
        <v>152</v>
      </c>
      <c r="B144" s="97" t="s">
        <v>143</v>
      </c>
      <c r="C144" s="54" t="s">
        <v>112</v>
      </c>
      <c r="D144" s="54" t="s">
        <v>132</v>
      </c>
      <c r="E144" s="54" t="s">
        <v>19</v>
      </c>
      <c r="F144" s="54" t="s">
        <v>153</v>
      </c>
      <c r="G144" s="107">
        <f t="shared" si="7"/>
        <v>0</v>
      </c>
      <c r="H144" s="107">
        <v>0</v>
      </c>
      <c r="I144" s="329" t="e">
        <f t="shared" si="5"/>
        <v>#DIV/0!</v>
      </c>
    </row>
    <row r="145" spans="1:9" ht="99.75" customHeight="1">
      <c r="A145" s="76" t="s">
        <v>670</v>
      </c>
      <c r="B145" s="97" t="s">
        <v>143</v>
      </c>
      <c r="C145" s="54" t="s">
        <v>112</v>
      </c>
      <c r="D145" s="54" t="s">
        <v>132</v>
      </c>
      <c r="E145" s="80" t="s">
        <v>606</v>
      </c>
      <c r="F145" s="54" t="s">
        <v>347</v>
      </c>
      <c r="G145" s="316">
        <f>G146+G148</f>
        <v>3106.391</v>
      </c>
      <c r="H145" s="316">
        <f>H146+H148</f>
        <v>3106.391</v>
      </c>
      <c r="I145" s="329">
        <f t="shared" si="5"/>
        <v>100</v>
      </c>
    </row>
    <row r="146" spans="1:9" ht="111.75" customHeight="1">
      <c r="A146" s="29" t="s">
        <v>148</v>
      </c>
      <c r="B146" s="32" t="s">
        <v>143</v>
      </c>
      <c r="C146" s="54" t="s">
        <v>112</v>
      </c>
      <c r="D146" s="54" t="s">
        <v>132</v>
      </c>
      <c r="E146" s="54" t="s">
        <v>606</v>
      </c>
      <c r="F146" s="54" t="s">
        <v>117</v>
      </c>
      <c r="G146" s="312">
        <f>G147</f>
        <v>3058.504</v>
      </c>
      <c r="H146" s="312">
        <f>H147</f>
        <v>3058.504</v>
      </c>
      <c r="I146" s="329">
        <f t="shared" si="5"/>
        <v>100</v>
      </c>
    </row>
    <row r="147" spans="1:9" ht="37.5" customHeight="1">
      <c r="A147" s="61" t="s">
        <v>150</v>
      </c>
      <c r="B147" s="32" t="s">
        <v>143</v>
      </c>
      <c r="C147" s="54" t="s">
        <v>112</v>
      </c>
      <c r="D147" s="54" t="s">
        <v>132</v>
      </c>
      <c r="E147" s="54" t="s">
        <v>606</v>
      </c>
      <c r="F147" s="54" t="s">
        <v>149</v>
      </c>
      <c r="G147" s="312">
        <v>3058.504</v>
      </c>
      <c r="H147" s="312">
        <v>3058.504</v>
      </c>
      <c r="I147" s="329">
        <f t="shared" si="5"/>
        <v>100</v>
      </c>
    </row>
    <row r="148" spans="1:9" ht="36" customHeight="1">
      <c r="A148" s="29" t="s">
        <v>151</v>
      </c>
      <c r="B148" s="32" t="s">
        <v>143</v>
      </c>
      <c r="C148" s="54" t="s">
        <v>112</v>
      </c>
      <c r="D148" s="54" t="s">
        <v>132</v>
      </c>
      <c r="E148" s="54" t="s">
        <v>606</v>
      </c>
      <c r="F148" s="54" t="s">
        <v>121</v>
      </c>
      <c r="G148" s="312">
        <f>G149</f>
        <v>47.887</v>
      </c>
      <c r="H148" s="312">
        <f>H149</f>
        <v>47.887</v>
      </c>
      <c r="I148" s="329">
        <f t="shared" si="5"/>
        <v>100</v>
      </c>
    </row>
    <row r="149" spans="1:9" ht="43.5" customHeight="1">
      <c r="A149" s="61" t="s">
        <v>152</v>
      </c>
      <c r="B149" s="32" t="s">
        <v>143</v>
      </c>
      <c r="C149" s="54" t="s">
        <v>112</v>
      </c>
      <c r="D149" s="54" t="s">
        <v>132</v>
      </c>
      <c r="E149" s="54" t="s">
        <v>606</v>
      </c>
      <c r="F149" s="54" t="s">
        <v>153</v>
      </c>
      <c r="G149" s="312">
        <v>47.887</v>
      </c>
      <c r="H149" s="312">
        <v>47.887</v>
      </c>
      <c r="I149" s="329">
        <f t="shared" si="5"/>
        <v>100</v>
      </c>
    </row>
    <row r="150" spans="1:9" ht="78" customHeight="1">
      <c r="A150" s="76" t="s">
        <v>607</v>
      </c>
      <c r="B150" s="97" t="s">
        <v>143</v>
      </c>
      <c r="C150" s="80" t="s">
        <v>112</v>
      </c>
      <c r="D150" s="80" t="s">
        <v>132</v>
      </c>
      <c r="E150" s="80" t="s">
        <v>608</v>
      </c>
      <c r="F150" s="80" t="s">
        <v>347</v>
      </c>
      <c r="G150" s="316">
        <f>G151+G154</f>
        <v>918</v>
      </c>
      <c r="H150" s="115">
        <f>H151+H153</f>
        <v>918</v>
      </c>
      <c r="I150" s="329">
        <f t="shared" si="5"/>
        <v>100</v>
      </c>
    </row>
    <row r="151" spans="1:9" ht="94.5" customHeight="1">
      <c r="A151" s="29" t="s">
        <v>148</v>
      </c>
      <c r="B151" s="32" t="s">
        <v>143</v>
      </c>
      <c r="C151" s="54" t="s">
        <v>112</v>
      </c>
      <c r="D151" s="54" t="s">
        <v>132</v>
      </c>
      <c r="E151" s="54" t="s">
        <v>608</v>
      </c>
      <c r="F151" s="54" t="s">
        <v>117</v>
      </c>
      <c r="G151" s="312">
        <f>G152</f>
        <v>268</v>
      </c>
      <c r="H151" s="312">
        <f>H152</f>
        <v>268</v>
      </c>
      <c r="I151" s="329">
        <f t="shared" si="5"/>
        <v>100</v>
      </c>
    </row>
    <row r="152" spans="1:9" ht="30" customHeight="1">
      <c r="A152" s="61" t="s">
        <v>150</v>
      </c>
      <c r="B152" s="32" t="s">
        <v>143</v>
      </c>
      <c r="C152" s="54" t="s">
        <v>112</v>
      </c>
      <c r="D152" s="54" t="s">
        <v>132</v>
      </c>
      <c r="E152" s="54" t="s">
        <v>608</v>
      </c>
      <c r="F152" s="54" t="s">
        <v>149</v>
      </c>
      <c r="G152" s="312">
        <v>268</v>
      </c>
      <c r="H152" s="312">
        <v>268</v>
      </c>
      <c r="I152" s="329">
        <f t="shared" si="5"/>
        <v>100</v>
      </c>
    </row>
    <row r="153" spans="1:9" ht="30.75" customHeight="1">
      <c r="A153" s="29" t="s">
        <v>151</v>
      </c>
      <c r="B153" s="32" t="s">
        <v>143</v>
      </c>
      <c r="C153" s="54" t="s">
        <v>112</v>
      </c>
      <c r="D153" s="54" t="s">
        <v>132</v>
      </c>
      <c r="E153" s="54" t="s">
        <v>608</v>
      </c>
      <c r="F153" s="54" t="s">
        <v>121</v>
      </c>
      <c r="G153" s="312">
        <f>G154</f>
        <v>650</v>
      </c>
      <c r="H153" s="312">
        <f>H154</f>
        <v>650</v>
      </c>
      <c r="I153" s="329">
        <f t="shared" si="5"/>
        <v>100</v>
      </c>
    </row>
    <row r="154" spans="1:9" ht="55.5" customHeight="1">
      <c r="A154" s="61" t="s">
        <v>152</v>
      </c>
      <c r="B154" s="32" t="s">
        <v>143</v>
      </c>
      <c r="C154" s="54" t="s">
        <v>112</v>
      </c>
      <c r="D154" s="54" t="s">
        <v>132</v>
      </c>
      <c r="E154" s="54" t="s">
        <v>608</v>
      </c>
      <c r="F154" s="54" t="s">
        <v>153</v>
      </c>
      <c r="G154" s="312">
        <v>650</v>
      </c>
      <c r="H154" s="312">
        <v>650</v>
      </c>
      <c r="I154" s="329">
        <f t="shared" si="5"/>
        <v>100</v>
      </c>
    </row>
    <row r="155" spans="1:9" ht="82.5" customHeight="1">
      <c r="A155" s="76" t="s">
        <v>609</v>
      </c>
      <c r="B155" s="97" t="s">
        <v>143</v>
      </c>
      <c r="C155" s="80" t="s">
        <v>112</v>
      </c>
      <c r="D155" s="80" t="s">
        <v>132</v>
      </c>
      <c r="E155" s="80" t="s">
        <v>610</v>
      </c>
      <c r="F155" s="80" t="s">
        <v>347</v>
      </c>
      <c r="G155" s="316">
        <f>G156</f>
        <v>646</v>
      </c>
      <c r="H155" s="316">
        <f>H156</f>
        <v>646</v>
      </c>
      <c r="I155" s="329">
        <f t="shared" si="5"/>
        <v>100</v>
      </c>
    </row>
    <row r="156" spans="1:9" ht="36" customHeight="1">
      <c r="A156" s="29" t="s">
        <v>151</v>
      </c>
      <c r="B156" s="32" t="s">
        <v>143</v>
      </c>
      <c r="C156" s="54" t="s">
        <v>112</v>
      </c>
      <c r="D156" s="54" t="s">
        <v>132</v>
      </c>
      <c r="E156" s="54" t="s">
        <v>610</v>
      </c>
      <c r="F156" s="54" t="s">
        <v>121</v>
      </c>
      <c r="G156" s="312">
        <f>G157</f>
        <v>646</v>
      </c>
      <c r="H156" s="312">
        <f>H157</f>
        <v>646</v>
      </c>
      <c r="I156" s="329">
        <f aca="true" t="shared" si="8" ref="I156:I199">H156/G156*100</f>
        <v>100</v>
      </c>
    </row>
    <row r="157" spans="1:9" ht="51" customHeight="1">
      <c r="A157" s="61" t="s">
        <v>152</v>
      </c>
      <c r="B157" s="32" t="s">
        <v>143</v>
      </c>
      <c r="C157" s="54" t="s">
        <v>112</v>
      </c>
      <c r="D157" s="54" t="s">
        <v>132</v>
      </c>
      <c r="E157" s="54" t="s">
        <v>610</v>
      </c>
      <c r="F157" s="54" t="s">
        <v>153</v>
      </c>
      <c r="G157" s="312">
        <v>646</v>
      </c>
      <c r="H157" s="312">
        <v>646</v>
      </c>
      <c r="I157" s="329">
        <f t="shared" si="8"/>
        <v>100</v>
      </c>
    </row>
    <row r="158" spans="1:9" ht="54" customHeight="1">
      <c r="A158" s="353" t="s">
        <v>312</v>
      </c>
      <c r="B158" s="354">
        <v>951</v>
      </c>
      <c r="C158" s="302" t="s">
        <v>119</v>
      </c>
      <c r="D158" s="302" t="s">
        <v>113</v>
      </c>
      <c r="E158" s="302" t="s">
        <v>262</v>
      </c>
      <c r="F158" s="302" t="s">
        <v>347</v>
      </c>
      <c r="G158" s="337">
        <f aca="true" t="shared" si="9" ref="G158:H161">G159</f>
        <v>78.602</v>
      </c>
      <c r="H158" s="337">
        <f t="shared" si="9"/>
        <v>78.602</v>
      </c>
      <c r="I158" s="336">
        <f t="shared" si="8"/>
        <v>100</v>
      </c>
    </row>
    <row r="159" spans="1:9" ht="43.5" customHeight="1">
      <c r="A159" s="29" t="s">
        <v>313</v>
      </c>
      <c r="B159" s="104">
        <v>951</v>
      </c>
      <c r="C159" s="54" t="s">
        <v>119</v>
      </c>
      <c r="D159" s="54" t="s">
        <v>314</v>
      </c>
      <c r="E159" s="54" t="s">
        <v>262</v>
      </c>
      <c r="F159" s="54" t="s">
        <v>347</v>
      </c>
      <c r="G159" s="107">
        <f t="shared" si="9"/>
        <v>78.602</v>
      </c>
      <c r="H159" s="107">
        <f t="shared" si="9"/>
        <v>78.602</v>
      </c>
      <c r="I159" s="329">
        <f t="shared" si="8"/>
        <v>100</v>
      </c>
    </row>
    <row r="160" spans="1:9" ht="58.5" customHeight="1">
      <c r="A160" s="29" t="s">
        <v>611</v>
      </c>
      <c r="B160" s="104">
        <v>951</v>
      </c>
      <c r="C160" s="54" t="s">
        <v>119</v>
      </c>
      <c r="D160" s="54" t="s">
        <v>314</v>
      </c>
      <c r="E160" s="54" t="s">
        <v>612</v>
      </c>
      <c r="F160" s="54" t="s">
        <v>347</v>
      </c>
      <c r="G160" s="107">
        <f t="shared" si="9"/>
        <v>78.602</v>
      </c>
      <c r="H160" s="107">
        <f t="shared" si="9"/>
        <v>78.602</v>
      </c>
      <c r="I160" s="329">
        <f t="shared" si="8"/>
        <v>100</v>
      </c>
    </row>
    <row r="161" spans="1:9" ht="34.5" customHeight="1">
      <c r="A161" s="29" t="s">
        <v>151</v>
      </c>
      <c r="B161" s="104">
        <v>951</v>
      </c>
      <c r="C161" s="54" t="s">
        <v>119</v>
      </c>
      <c r="D161" s="54" t="s">
        <v>314</v>
      </c>
      <c r="E161" s="54" t="s">
        <v>612</v>
      </c>
      <c r="F161" s="54" t="s">
        <v>121</v>
      </c>
      <c r="G161" s="107">
        <f t="shared" si="9"/>
        <v>78.602</v>
      </c>
      <c r="H161" s="107">
        <f t="shared" si="9"/>
        <v>78.602</v>
      </c>
      <c r="I161" s="329">
        <f t="shared" si="8"/>
        <v>100</v>
      </c>
    </row>
    <row r="162" spans="1:9" ht="43.5" customHeight="1">
      <c r="A162" s="61" t="s">
        <v>152</v>
      </c>
      <c r="B162" s="104">
        <v>951</v>
      </c>
      <c r="C162" s="54" t="s">
        <v>119</v>
      </c>
      <c r="D162" s="54" t="s">
        <v>314</v>
      </c>
      <c r="E162" s="54" t="s">
        <v>612</v>
      </c>
      <c r="F162" s="54" t="s">
        <v>153</v>
      </c>
      <c r="G162" s="107">
        <v>78.602</v>
      </c>
      <c r="H162" s="107">
        <v>78.602</v>
      </c>
      <c r="I162" s="329">
        <f t="shared" si="8"/>
        <v>100</v>
      </c>
    </row>
    <row r="163" spans="1:10" ht="15">
      <c r="A163" s="355" t="s">
        <v>316</v>
      </c>
      <c r="B163" s="354">
        <v>951</v>
      </c>
      <c r="C163" s="302" t="s">
        <v>123</v>
      </c>
      <c r="D163" s="302" t="s">
        <v>113</v>
      </c>
      <c r="E163" s="302" t="s">
        <v>262</v>
      </c>
      <c r="F163" s="302" t="s">
        <v>347</v>
      </c>
      <c r="G163" s="337">
        <f>G164+G168+G179</f>
        <v>25440.03601</v>
      </c>
      <c r="H163" s="337">
        <f>H164+H168+H179</f>
        <v>14914.173899999998</v>
      </c>
      <c r="I163" s="336">
        <f t="shared" si="8"/>
        <v>58.62481442297297</v>
      </c>
      <c r="J163" s="53">
        <v>14914.1739</v>
      </c>
    </row>
    <row r="164" spans="1:9" ht="15">
      <c r="A164" s="75" t="s">
        <v>193</v>
      </c>
      <c r="B164" s="32" t="s">
        <v>143</v>
      </c>
      <c r="C164" s="54" t="s">
        <v>123</v>
      </c>
      <c r="D164" s="54" t="s">
        <v>326</v>
      </c>
      <c r="E164" s="54" t="s">
        <v>262</v>
      </c>
      <c r="F164" s="54" t="s">
        <v>347</v>
      </c>
      <c r="G164" s="107">
        <f aca="true" t="shared" si="10" ref="G164:H166">G165</f>
        <v>273.188</v>
      </c>
      <c r="H164" s="107">
        <f t="shared" si="10"/>
        <v>0</v>
      </c>
      <c r="I164" s="329">
        <f t="shared" si="8"/>
        <v>0</v>
      </c>
    </row>
    <row r="165" spans="1:9" ht="105">
      <c r="A165" s="29" t="s">
        <v>572</v>
      </c>
      <c r="B165" s="32" t="s">
        <v>143</v>
      </c>
      <c r="C165" s="54" t="s">
        <v>123</v>
      </c>
      <c r="D165" s="54" t="s">
        <v>326</v>
      </c>
      <c r="E165" s="54" t="s">
        <v>36</v>
      </c>
      <c r="F165" s="54" t="s">
        <v>347</v>
      </c>
      <c r="G165" s="107">
        <f t="shared" si="10"/>
        <v>273.188</v>
      </c>
      <c r="H165" s="107">
        <f t="shared" si="10"/>
        <v>0</v>
      </c>
      <c r="I165" s="329">
        <f t="shared" si="8"/>
        <v>0</v>
      </c>
    </row>
    <row r="166" spans="1:9" ht="30" customHeight="1">
      <c r="A166" s="29" t="s">
        <v>151</v>
      </c>
      <c r="B166" s="32" t="s">
        <v>143</v>
      </c>
      <c r="C166" s="54" t="s">
        <v>123</v>
      </c>
      <c r="D166" s="54" t="s">
        <v>326</v>
      </c>
      <c r="E166" s="54" t="s">
        <v>36</v>
      </c>
      <c r="F166" s="54" t="s">
        <v>121</v>
      </c>
      <c r="G166" s="107">
        <f t="shared" si="10"/>
        <v>273.188</v>
      </c>
      <c r="H166" s="107">
        <f t="shared" si="10"/>
        <v>0</v>
      </c>
      <c r="I166" s="329">
        <f t="shared" si="8"/>
        <v>0</v>
      </c>
    </row>
    <row r="167" spans="1:9" ht="45" customHeight="1">
      <c r="A167" s="61" t="s">
        <v>152</v>
      </c>
      <c r="B167" s="32" t="s">
        <v>143</v>
      </c>
      <c r="C167" s="54" t="s">
        <v>123</v>
      </c>
      <c r="D167" s="54" t="s">
        <v>326</v>
      </c>
      <c r="E167" s="54" t="s">
        <v>36</v>
      </c>
      <c r="F167" s="54" t="s">
        <v>153</v>
      </c>
      <c r="G167" s="107">
        <v>273.188</v>
      </c>
      <c r="H167" s="107">
        <v>0</v>
      </c>
      <c r="I167" s="329">
        <f t="shared" si="8"/>
        <v>0</v>
      </c>
    </row>
    <row r="168" spans="1:9" ht="15">
      <c r="A168" s="75" t="s">
        <v>354</v>
      </c>
      <c r="B168" s="32">
        <v>951</v>
      </c>
      <c r="C168" s="54" t="s">
        <v>123</v>
      </c>
      <c r="D168" s="54" t="s">
        <v>317</v>
      </c>
      <c r="E168" s="54" t="s">
        <v>262</v>
      </c>
      <c r="F168" s="54" t="s">
        <v>347</v>
      </c>
      <c r="G168" s="107">
        <f>G169+G178</f>
        <v>1911.7439</v>
      </c>
      <c r="H168" s="107">
        <f>H169+H178</f>
        <v>1908.4959000000001</v>
      </c>
      <c r="I168" s="329">
        <f t="shared" si="8"/>
        <v>99.83010276637995</v>
      </c>
    </row>
    <row r="169" spans="1:9" ht="87.75" customHeight="1">
      <c r="A169" s="75" t="s">
        <v>420</v>
      </c>
      <c r="B169" s="97" t="s">
        <v>143</v>
      </c>
      <c r="C169" s="80" t="s">
        <v>123</v>
      </c>
      <c r="D169" s="80" t="s">
        <v>317</v>
      </c>
      <c r="E169" s="80" t="s">
        <v>262</v>
      </c>
      <c r="F169" s="80" t="s">
        <v>347</v>
      </c>
      <c r="G169" s="115">
        <f>G170+G174</f>
        <v>1908.5209</v>
      </c>
      <c r="H169" s="115">
        <f>H170+H174</f>
        <v>1908.4959000000001</v>
      </c>
      <c r="I169" s="329">
        <f t="shared" si="8"/>
        <v>99.99869008508108</v>
      </c>
    </row>
    <row r="170" spans="1:9" ht="15">
      <c r="A170" s="29" t="s">
        <v>355</v>
      </c>
      <c r="B170" s="32">
        <v>951</v>
      </c>
      <c r="C170" s="54" t="s">
        <v>123</v>
      </c>
      <c r="D170" s="54" t="s">
        <v>317</v>
      </c>
      <c r="E170" s="54" t="s">
        <v>421</v>
      </c>
      <c r="F170" s="54" t="s">
        <v>347</v>
      </c>
      <c r="G170" s="107">
        <f aca="true" t="shared" si="11" ref="G170:H172">G171</f>
        <v>1605.6</v>
      </c>
      <c r="H170" s="107">
        <f t="shared" si="11"/>
        <v>1605.575</v>
      </c>
      <c r="I170" s="329">
        <f t="shared" si="8"/>
        <v>99.99844294967615</v>
      </c>
    </row>
    <row r="171" spans="1:9" ht="30.75" customHeight="1">
      <c r="A171" s="29" t="s">
        <v>356</v>
      </c>
      <c r="B171" s="32">
        <v>951</v>
      </c>
      <c r="C171" s="54" t="s">
        <v>123</v>
      </c>
      <c r="D171" s="54" t="s">
        <v>317</v>
      </c>
      <c r="E171" s="54" t="s">
        <v>421</v>
      </c>
      <c r="F171" s="54" t="s">
        <v>347</v>
      </c>
      <c r="G171" s="107">
        <f t="shared" si="11"/>
        <v>1605.6</v>
      </c>
      <c r="H171" s="107">
        <f t="shared" si="11"/>
        <v>1605.575</v>
      </c>
      <c r="I171" s="329">
        <f t="shared" si="8"/>
        <v>99.99844294967615</v>
      </c>
    </row>
    <row r="172" spans="1:9" ht="15">
      <c r="A172" s="29" t="s">
        <v>156</v>
      </c>
      <c r="B172" s="32">
        <v>951</v>
      </c>
      <c r="C172" s="54" t="s">
        <v>123</v>
      </c>
      <c r="D172" s="54" t="s">
        <v>317</v>
      </c>
      <c r="E172" s="54" t="s">
        <v>421</v>
      </c>
      <c r="F172" s="54" t="s">
        <v>157</v>
      </c>
      <c r="G172" s="107">
        <f t="shared" si="11"/>
        <v>1605.6</v>
      </c>
      <c r="H172" s="107">
        <f t="shared" si="11"/>
        <v>1605.575</v>
      </c>
      <c r="I172" s="329">
        <f t="shared" si="8"/>
        <v>99.99844294967615</v>
      </c>
    </row>
    <row r="173" spans="1:9" ht="48.75" customHeight="1">
      <c r="A173" s="29" t="s">
        <v>613</v>
      </c>
      <c r="B173" s="32">
        <v>951</v>
      </c>
      <c r="C173" s="54" t="s">
        <v>123</v>
      </c>
      <c r="D173" s="54" t="s">
        <v>317</v>
      </c>
      <c r="E173" s="54" t="s">
        <v>421</v>
      </c>
      <c r="F173" s="54" t="s">
        <v>393</v>
      </c>
      <c r="G173" s="107">
        <v>1605.6</v>
      </c>
      <c r="H173" s="107">
        <v>1605.575</v>
      </c>
      <c r="I173" s="329">
        <f t="shared" si="8"/>
        <v>99.99844294967615</v>
      </c>
    </row>
    <row r="174" spans="1:9" ht="17.25" customHeight="1">
      <c r="A174" s="61" t="s">
        <v>162</v>
      </c>
      <c r="B174" s="32" t="s">
        <v>143</v>
      </c>
      <c r="C174" s="54" t="s">
        <v>123</v>
      </c>
      <c r="D174" s="54" t="s">
        <v>317</v>
      </c>
      <c r="E174" s="54" t="s">
        <v>614</v>
      </c>
      <c r="F174" s="54" t="s">
        <v>163</v>
      </c>
      <c r="G174" s="312">
        <f>G175</f>
        <v>302.9209</v>
      </c>
      <c r="H174" s="107">
        <f>H175</f>
        <v>302.9209</v>
      </c>
      <c r="I174" s="329">
        <f t="shared" si="8"/>
        <v>100</v>
      </c>
    </row>
    <row r="175" spans="1:9" ht="18.75" customHeight="1">
      <c r="A175" s="61" t="s">
        <v>245</v>
      </c>
      <c r="B175" s="32" t="s">
        <v>143</v>
      </c>
      <c r="C175" s="54" t="s">
        <v>123</v>
      </c>
      <c r="D175" s="54" t="s">
        <v>317</v>
      </c>
      <c r="E175" s="54" t="s">
        <v>614</v>
      </c>
      <c r="F175" s="54" t="s">
        <v>390</v>
      </c>
      <c r="G175" s="312">
        <v>302.9209</v>
      </c>
      <c r="H175" s="312">
        <v>302.9209</v>
      </c>
      <c r="I175" s="329">
        <f t="shared" si="8"/>
        <v>100</v>
      </c>
    </row>
    <row r="176" spans="1:9" ht="111.75" customHeight="1">
      <c r="A176" s="76" t="s">
        <v>482</v>
      </c>
      <c r="B176" s="97" t="s">
        <v>143</v>
      </c>
      <c r="C176" s="80" t="s">
        <v>123</v>
      </c>
      <c r="D176" s="80" t="s">
        <v>317</v>
      </c>
      <c r="E176" s="80" t="s">
        <v>262</v>
      </c>
      <c r="F176" s="80" t="s">
        <v>347</v>
      </c>
      <c r="G176" s="316">
        <f>G177</f>
        <v>3.223</v>
      </c>
      <c r="H176" s="316">
        <f>H177</f>
        <v>0</v>
      </c>
      <c r="I176" s="329">
        <f t="shared" si="8"/>
        <v>0</v>
      </c>
    </row>
    <row r="177" spans="1:9" ht="33" customHeight="1">
      <c r="A177" s="29" t="s">
        <v>151</v>
      </c>
      <c r="B177" s="32" t="s">
        <v>143</v>
      </c>
      <c r="C177" s="54" t="s">
        <v>123</v>
      </c>
      <c r="D177" s="54" t="s">
        <v>317</v>
      </c>
      <c r="E177" s="54" t="s">
        <v>501</v>
      </c>
      <c r="F177" s="54" t="s">
        <v>121</v>
      </c>
      <c r="G177" s="312">
        <f>G178</f>
        <v>3.223</v>
      </c>
      <c r="H177" s="312">
        <f>H178</f>
        <v>0</v>
      </c>
      <c r="I177" s="329">
        <f t="shared" si="8"/>
        <v>0</v>
      </c>
    </row>
    <row r="178" spans="1:9" ht="33" customHeight="1">
      <c r="A178" s="61" t="s">
        <v>152</v>
      </c>
      <c r="B178" s="32" t="s">
        <v>143</v>
      </c>
      <c r="C178" s="54" t="s">
        <v>123</v>
      </c>
      <c r="D178" s="54" t="s">
        <v>317</v>
      </c>
      <c r="E178" s="54" t="s">
        <v>501</v>
      </c>
      <c r="F178" s="54" t="s">
        <v>153</v>
      </c>
      <c r="G178" s="312">
        <v>3.223</v>
      </c>
      <c r="H178" s="107">
        <v>0</v>
      </c>
      <c r="I178" s="329">
        <f t="shared" si="8"/>
        <v>0</v>
      </c>
    </row>
    <row r="179" spans="1:9" ht="17.25" customHeight="1">
      <c r="A179" s="75" t="s">
        <v>318</v>
      </c>
      <c r="B179" s="97">
        <v>951</v>
      </c>
      <c r="C179" s="80" t="s">
        <v>123</v>
      </c>
      <c r="D179" s="80" t="s">
        <v>314</v>
      </c>
      <c r="E179" s="80" t="s">
        <v>262</v>
      </c>
      <c r="F179" s="80" t="s">
        <v>347</v>
      </c>
      <c r="G179" s="115">
        <f>G180+G193</f>
        <v>23255.10411</v>
      </c>
      <c r="H179" s="115">
        <f>H180+H193</f>
        <v>13005.677999999998</v>
      </c>
      <c r="I179" s="329">
        <f t="shared" si="8"/>
        <v>55.92612244813553</v>
      </c>
    </row>
    <row r="180" spans="1:9" ht="105" customHeight="1">
      <c r="A180" s="75" t="s">
        <v>420</v>
      </c>
      <c r="B180" s="97" t="s">
        <v>143</v>
      </c>
      <c r="C180" s="80" t="s">
        <v>123</v>
      </c>
      <c r="D180" s="80" t="s">
        <v>314</v>
      </c>
      <c r="E180" s="80" t="s">
        <v>262</v>
      </c>
      <c r="F180" s="80" t="s">
        <v>347</v>
      </c>
      <c r="G180" s="115">
        <f>G183+G185+G190+G192</f>
        <v>23174.40411</v>
      </c>
      <c r="H180" s="115">
        <f>H183+H185+H190+H192</f>
        <v>12938.610999999999</v>
      </c>
      <c r="I180" s="329">
        <f t="shared" si="8"/>
        <v>55.83147225096007</v>
      </c>
    </row>
    <row r="181" spans="1:9" ht="33" customHeight="1">
      <c r="A181" s="29" t="s">
        <v>319</v>
      </c>
      <c r="B181" s="32">
        <v>951</v>
      </c>
      <c r="C181" s="54" t="s">
        <v>123</v>
      </c>
      <c r="D181" s="54" t="s">
        <v>314</v>
      </c>
      <c r="E181" s="54" t="s">
        <v>423</v>
      </c>
      <c r="F181" s="54" t="s">
        <v>347</v>
      </c>
      <c r="G181" s="107">
        <v>10432.24708</v>
      </c>
      <c r="H181" s="107">
        <f>H182</f>
        <v>196.455</v>
      </c>
      <c r="I181" s="329">
        <f t="shared" si="8"/>
        <v>1.883151333490081</v>
      </c>
    </row>
    <row r="182" spans="1:9" ht="33" customHeight="1">
      <c r="A182" s="29" t="s">
        <v>151</v>
      </c>
      <c r="B182" s="32">
        <v>951</v>
      </c>
      <c r="C182" s="54" t="s">
        <v>123</v>
      </c>
      <c r="D182" s="54" t="s">
        <v>314</v>
      </c>
      <c r="E182" s="54" t="s">
        <v>423</v>
      </c>
      <c r="F182" s="54" t="s">
        <v>121</v>
      </c>
      <c r="G182" s="107">
        <f>G183</f>
        <v>10432.24708</v>
      </c>
      <c r="H182" s="107">
        <f>H183</f>
        <v>196.455</v>
      </c>
      <c r="I182" s="329">
        <f t="shared" si="8"/>
        <v>1.883151333490081</v>
      </c>
    </row>
    <row r="183" spans="1:9" ht="41.25" customHeight="1">
      <c r="A183" s="61" t="s">
        <v>152</v>
      </c>
      <c r="B183" s="32">
        <v>951</v>
      </c>
      <c r="C183" s="54" t="s">
        <v>123</v>
      </c>
      <c r="D183" s="54" t="s">
        <v>314</v>
      </c>
      <c r="E183" s="54" t="s">
        <v>423</v>
      </c>
      <c r="F183" s="54" t="s">
        <v>153</v>
      </c>
      <c r="G183" s="107">
        <v>10432.24708</v>
      </c>
      <c r="H183" s="107">
        <v>196.455</v>
      </c>
      <c r="I183" s="329">
        <f t="shared" si="8"/>
        <v>1.883151333490081</v>
      </c>
    </row>
    <row r="184" spans="1:9" ht="15">
      <c r="A184" s="61" t="s">
        <v>162</v>
      </c>
      <c r="B184" s="32">
        <v>951</v>
      </c>
      <c r="C184" s="54" t="s">
        <v>123</v>
      </c>
      <c r="D184" s="54" t="s">
        <v>314</v>
      </c>
      <c r="E184" s="54" t="s">
        <v>422</v>
      </c>
      <c r="F184" s="54" t="s">
        <v>163</v>
      </c>
      <c r="G184" s="107">
        <f>H184+I184</f>
        <v>9810.83482462295</v>
      </c>
      <c r="H184" s="107">
        <f>H185+H186+H187</f>
        <v>9711.854</v>
      </c>
      <c r="I184" s="329">
        <f t="shared" si="8"/>
        <v>98.9911070118668</v>
      </c>
    </row>
    <row r="185" spans="1:9" ht="15">
      <c r="A185" s="61" t="s">
        <v>245</v>
      </c>
      <c r="B185" s="32">
        <v>951</v>
      </c>
      <c r="C185" s="54" t="s">
        <v>123</v>
      </c>
      <c r="D185" s="54" t="s">
        <v>314</v>
      </c>
      <c r="E185" s="54" t="s">
        <v>422</v>
      </c>
      <c r="F185" s="54" t="s">
        <v>390</v>
      </c>
      <c r="G185" s="107">
        <v>9711.854</v>
      </c>
      <c r="H185" s="107">
        <v>9711.854</v>
      </c>
      <c r="I185" s="329">
        <f t="shared" si="8"/>
        <v>100</v>
      </c>
    </row>
    <row r="186" spans="1:9" ht="90" hidden="1">
      <c r="A186" s="61" t="s">
        <v>439</v>
      </c>
      <c r="B186" s="32">
        <v>952</v>
      </c>
      <c r="C186" s="54" t="s">
        <v>123</v>
      </c>
      <c r="D186" s="54" t="s">
        <v>314</v>
      </c>
      <c r="E186" s="54" t="s">
        <v>440</v>
      </c>
      <c r="F186" s="54" t="s">
        <v>390</v>
      </c>
      <c r="G186" s="107">
        <f>H186</f>
        <v>0</v>
      </c>
      <c r="H186" s="107"/>
      <c r="I186" s="329" t="e">
        <f t="shared" si="8"/>
        <v>#DIV/0!</v>
      </c>
    </row>
    <row r="187" spans="1:9" ht="105" hidden="1">
      <c r="A187" s="61" t="s">
        <v>443</v>
      </c>
      <c r="B187" s="32">
        <v>953</v>
      </c>
      <c r="C187" s="54" t="s">
        <v>123</v>
      </c>
      <c r="D187" s="54" t="s">
        <v>314</v>
      </c>
      <c r="E187" s="54" t="s">
        <v>440</v>
      </c>
      <c r="F187" s="54" t="s">
        <v>390</v>
      </c>
      <c r="G187" s="107">
        <f>H187</f>
        <v>0</v>
      </c>
      <c r="H187" s="107"/>
      <c r="I187" s="329" t="e">
        <f t="shared" si="8"/>
        <v>#DIV/0!</v>
      </c>
    </row>
    <row r="188" spans="1:9" ht="29.25" customHeight="1">
      <c r="A188" s="76" t="s">
        <v>615</v>
      </c>
      <c r="B188" s="97">
        <v>951</v>
      </c>
      <c r="C188" s="80" t="s">
        <v>123</v>
      </c>
      <c r="D188" s="80" t="s">
        <v>314</v>
      </c>
      <c r="E188" s="80" t="s">
        <v>405</v>
      </c>
      <c r="F188" s="80" t="s">
        <v>347</v>
      </c>
      <c r="G188" s="316">
        <f>G189+G191</f>
        <v>3030.30303</v>
      </c>
      <c r="H188" s="316">
        <f>H189</f>
        <v>2999.99898</v>
      </c>
      <c r="I188" s="329">
        <f t="shared" si="8"/>
        <v>98.99996634989999</v>
      </c>
    </row>
    <row r="189" spans="1:9" ht="29.25" customHeight="1">
      <c r="A189" s="29" t="s">
        <v>151</v>
      </c>
      <c r="B189" s="32">
        <v>951</v>
      </c>
      <c r="C189" s="54" t="s">
        <v>123</v>
      </c>
      <c r="D189" s="54" t="s">
        <v>314</v>
      </c>
      <c r="E189" s="54" t="s">
        <v>616</v>
      </c>
      <c r="F189" s="54" t="s">
        <v>121</v>
      </c>
      <c r="G189" s="312">
        <f>G190</f>
        <v>3000</v>
      </c>
      <c r="H189" s="312">
        <f>H190</f>
        <v>2999.99898</v>
      </c>
      <c r="I189" s="329">
        <f t="shared" si="8"/>
        <v>99.999966</v>
      </c>
    </row>
    <row r="190" spans="1:9" ht="45">
      <c r="A190" s="61" t="s">
        <v>152</v>
      </c>
      <c r="B190" s="32">
        <v>951</v>
      </c>
      <c r="C190" s="54" t="s">
        <v>123</v>
      </c>
      <c r="D190" s="54" t="s">
        <v>314</v>
      </c>
      <c r="E190" s="54" t="s">
        <v>616</v>
      </c>
      <c r="F190" s="54" t="s">
        <v>153</v>
      </c>
      <c r="G190" s="312">
        <v>3000</v>
      </c>
      <c r="H190" s="312">
        <v>2999.99898</v>
      </c>
      <c r="I190" s="329">
        <f t="shared" si="8"/>
        <v>99.999966</v>
      </c>
    </row>
    <row r="191" spans="1:9" ht="30">
      <c r="A191" s="29" t="s">
        <v>151</v>
      </c>
      <c r="B191" s="32">
        <v>951</v>
      </c>
      <c r="C191" s="54" t="s">
        <v>123</v>
      </c>
      <c r="D191" s="54" t="s">
        <v>314</v>
      </c>
      <c r="E191" s="54" t="s">
        <v>617</v>
      </c>
      <c r="F191" s="54" t="s">
        <v>121</v>
      </c>
      <c r="G191" s="312">
        <f>G192</f>
        <v>30.30303</v>
      </c>
      <c r="H191" s="312">
        <f>H192</f>
        <v>30.30302</v>
      </c>
      <c r="I191" s="329">
        <f t="shared" si="8"/>
        <v>99.99996699999967</v>
      </c>
    </row>
    <row r="192" spans="1:9" ht="45">
      <c r="A192" s="61" t="s">
        <v>152</v>
      </c>
      <c r="B192" s="32">
        <v>951</v>
      </c>
      <c r="C192" s="54" t="s">
        <v>123</v>
      </c>
      <c r="D192" s="54" t="s">
        <v>314</v>
      </c>
      <c r="E192" s="54" t="s">
        <v>617</v>
      </c>
      <c r="F192" s="54" t="s">
        <v>153</v>
      </c>
      <c r="G192" s="312">
        <v>30.30303</v>
      </c>
      <c r="H192" s="312">
        <v>30.30302</v>
      </c>
      <c r="I192" s="329">
        <f t="shared" si="8"/>
        <v>99.99996699999967</v>
      </c>
    </row>
    <row r="193" spans="1:9" ht="30.75" customHeight="1">
      <c r="A193" s="76" t="s">
        <v>115</v>
      </c>
      <c r="B193" s="97" t="s">
        <v>143</v>
      </c>
      <c r="C193" s="80" t="s">
        <v>123</v>
      </c>
      <c r="D193" s="80" t="s">
        <v>314</v>
      </c>
      <c r="E193" s="80" t="s">
        <v>7</v>
      </c>
      <c r="F193" s="80" t="s">
        <v>347</v>
      </c>
      <c r="G193" s="115">
        <f>G194</f>
        <v>80.7</v>
      </c>
      <c r="H193" s="115">
        <f>H194</f>
        <v>67.067</v>
      </c>
      <c r="I193" s="329">
        <f t="shared" si="8"/>
        <v>83.10656753407682</v>
      </c>
    </row>
    <row r="194" spans="1:9" ht="31.5" customHeight="1">
      <c r="A194" s="61" t="s">
        <v>116</v>
      </c>
      <c r="B194" s="32" t="s">
        <v>143</v>
      </c>
      <c r="C194" s="54" t="s">
        <v>123</v>
      </c>
      <c r="D194" s="54" t="s">
        <v>314</v>
      </c>
      <c r="E194" s="54" t="s">
        <v>8</v>
      </c>
      <c r="F194" s="54" t="s">
        <v>347</v>
      </c>
      <c r="G194" s="107">
        <f>G195</f>
        <v>80.7</v>
      </c>
      <c r="H194" s="107">
        <f>H195</f>
        <v>67.067</v>
      </c>
      <c r="I194" s="329">
        <f t="shared" si="8"/>
        <v>83.10656753407682</v>
      </c>
    </row>
    <row r="195" spans="1:9" ht="19.5" customHeight="1">
      <c r="A195" s="29" t="s">
        <v>542</v>
      </c>
      <c r="B195" s="32" t="s">
        <v>143</v>
      </c>
      <c r="C195" s="54" t="s">
        <v>123</v>
      </c>
      <c r="D195" s="54" t="s">
        <v>314</v>
      </c>
      <c r="E195" s="32" t="s">
        <v>541</v>
      </c>
      <c r="F195" s="54" t="s">
        <v>347</v>
      </c>
      <c r="G195" s="107">
        <f>G198</f>
        <v>80.7</v>
      </c>
      <c r="H195" s="107">
        <f>H196+H198</f>
        <v>67.067</v>
      </c>
      <c r="I195" s="329">
        <f t="shared" si="8"/>
        <v>83.10656753407682</v>
      </c>
    </row>
    <row r="196" spans="1:9" ht="30.75" customHeight="1" hidden="1">
      <c r="A196" s="29" t="s">
        <v>151</v>
      </c>
      <c r="B196" s="32" t="s">
        <v>143</v>
      </c>
      <c r="C196" s="54" t="s">
        <v>123</v>
      </c>
      <c r="D196" s="54" t="s">
        <v>314</v>
      </c>
      <c r="E196" s="32" t="s">
        <v>541</v>
      </c>
      <c r="F196" s="54" t="s">
        <v>121</v>
      </c>
      <c r="G196" s="107">
        <f>H196+I196</f>
        <v>0</v>
      </c>
      <c r="H196" s="107">
        <f>H197</f>
        <v>0</v>
      </c>
      <c r="I196" s="329" t="e">
        <f t="shared" si="8"/>
        <v>#DIV/0!</v>
      </c>
    </row>
    <row r="197" spans="1:9" ht="45" customHeight="1" hidden="1">
      <c r="A197" s="61" t="s">
        <v>152</v>
      </c>
      <c r="B197" s="32" t="s">
        <v>143</v>
      </c>
      <c r="C197" s="54" t="s">
        <v>123</v>
      </c>
      <c r="D197" s="54" t="s">
        <v>314</v>
      </c>
      <c r="E197" s="32" t="s">
        <v>541</v>
      </c>
      <c r="F197" s="54" t="s">
        <v>153</v>
      </c>
      <c r="G197" s="107">
        <f>H197+I197</f>
        <v>0</v>
      </c>
      <c r="H197" s="107">
        <v>0</v>
      </c>
      <c r="I197" s="329" t="e">
        <f t="shared" si="8"/>
        <v>#DIV/0!</v>
      </c>
    </row>
    <row r="198" spans="1:9" ht="18" customHeight="1">
      <c r="A198" s="29" t="s">
        <v>156</v>
      </c>
      <c r="B198" s="32" t="s">
        <v>143</v>
      </c>
      <c r="C198" s="54" t="s">
        <v>123</v>
      </c>
      <c r="D198" s="54" t="s">
        <v>314</v>
      </c>
      <c r="E198" s="32" t="s">
        <v>541</v>
      </c>
      <c r="F198" s="54" t="s">
        <v>157</v>
      </c>
      <c r="G198" s="107">
        <f>G199</f>
        <v>80.7</v>
      </c>
      <c r="H198" s="107">
        <f>H199</f>
        <v>67.067</v>
      </c>
      <c r="I198" s="329">
        <f t="shared" si="8"/>
        <v>83.10656753407682</v>
      </c>
    </row>
    <row r="199" spans="1:9" ht="15" customHeight="1">
      <c r="A199" s="311" t="s">
        <v>154</v>
      </c>
      <c r="B199" s="32" t="s">
        <v>143</v>
      </c>
      <c r="C199" s="54" t="s">
        <v>123</v>
      </c>
      <c r="D199" s="54" t="s">
        <v>314</v>
      </c>
      <c r="E199" s="32" t="s">
        <v>541</v>
      </c>
      <c r="F199" s="54" t="s">
        <v>155</v>
      </c>
      <c r="G199" s="107">
        <v>80.7</v>
      </c>
      <c r="H199" s="107">
        <v>67.067</v>
      </c>
      <c r="I199" s="329">
        <f t="shared" si="8"/>
        <v>83.10656753407682</v>
      </c>
    </row>
    <row r="200" spans="1:9" ht="30" hidden="1">
      <c r="A200" s="29" t="s">
        <v>298</v>
      </c>
      <c r="B200" s="104">
        <v>951</v>
      </c>
      <c r="C200" s="54" t="s">
        <v>123</v>
      </c>
      <c r="D200" s="54" t="s">
        <v>320</v>
      </c>
      <c r="E200" s="54" t="s">
        <v>262</v>
      </c>
      <c r="F200" s="54" t="s">
        <v>347</v>
      </c>
      <c r="G200" s="107">
        <f>H200+I200</f>
        <v>0</v>
      </c>
      <c r="H200" s="318">
        <f>H201</f>
        <v>0</v>
      </c>
      <c r="I200" s="331">
        <f>I201</f>
        <v>0</v>
      </c>
    </row>
    <row r="201" spans="1:9" ht="43.5" customHeight="1" hidden="1">
      <c r="A201" s="75" t="s">
        <v>402</v>
      </c>
      <c r="B201" s="104">
        <v>951</v>
      </c>
      <c r="C201" s="54" t="s">
        <v>123</v>
      </c>
      <c r="D201" s="54" t="s">
        <v>320</v>
      </c>
      <c r="E201" s="80" t="s">
        <v>403</v>
      </c>
      <c r="F201" s="54" t="s">
        <v>347</v>
      </c>
      <c r="G201" s="107">
        <f>H201+I201</f>
        <v>0</v>
      </c>
      <c r="H201" s="318">
        <f aca="true" t="shared" si="12" ref="H201:I203">H202</f>
        <v>0</v>
      </c>
      <c r="I201" s="331">
        <f t="shared" si="12"/>
        <v>0</v>
      </c>
    </row>
    <row r="202" spans="1:9" ht="99" customHeight="1" hidden="1">
      <c r="A202" s="29" t="s">
        <v>322</v>
      </c>
      <c r="B202" s="104">
        <v>951</v>
      </c>
      <c r="C202" s="54" t="s">
        <v>123</v>
      </c>
      <c r="D202" s="54" t="s">
        <v>320</v>
      </c>
      <c r="E202" s="54" t="s">
        <v>404</v>
      </c>
      <c r="F202" s="54" t="s">
        <v>347</v>
      </c>
      <c r="G202" s="107">
        <f>H202+I202</f>
        <v>0</v>
      </c>
      <c r="H202" s="318">
        <f t="shared" si="12"/>
        <v>0</v>
      </c>
      <c r="I202" s="331">
        <f t="shared" si="12"/>
        <v>0</v>
      </c>
    </row>
    <row r="203" spans="1:9" ht="16.5" customHeight="1" hidden="1">
      <c r="A203" s="29" t="s">
        <v>156</v>
      </c>
      <c r="B203" s="104">
        <v>951</v>
      </c>
      <c r="C203" s="54" t="s">
        <v>123</v>
      </c>
      <c r="D203" s="54" t="s">
        <v>320</v>
      </c>
      <c r="E203" s="54" t="s">
        <v>404</v>
      </c>
      <c r="F203" s="54" t="s">
        <v>157</v>
      </c>
      <c r="G203" s="107">
        <f>H203+I203</f>
        <v>0</v>
      </c>
      <c r="H203" s="318">
        <f t="shared" si="12"/>
        <v>0</v>
      </c>
      <c r="I203" s="331">
        <f t="shared" si="12"/>
        <v>0</v>
      </c>
    </row>
    <row r="204" spans="1:9" ht="48" customHeight="1" hidden="1">
      <c r="A204" s="29" t="s">
        <v>613</v>
      </c>
      <c r="B204" s="104">
        <v>951</v>
      </c>
      <c r="C204" s="54" t="s">
        <v>123</v>
      </c>
      <c r="D204" s="54" t="s">
        <v>320</v>
      </c>
      <c r="E204" s="54" t="s">
        <v>404</v>
      </c>
      <c r="F204" s="54" t="s">
        <v>324</v>
      </c>
      <c r="G204" s="107">
        <f>H204+I204</f>
        <v>0</v>
      </c>
      <c r="H204" s="318">
        <f>100-100</f>
        <v>0</v>
      </c>
      <c r="I204" s="331"/>
    </row>
    <row r="205" spans="1:9" ht="15" hidden="1">
      <c r="A205" s="75"/>
      <c r="B205" s="97"/>
      <c r="C205" s="80"/>
      <c r="D205" s="80"/>
      <c r="E205" s="80"/>
      <c r="F205" s="80"/>
      <c r="G205" s="115"/>
      <c r="H205" s="115"/>
      <c r="I205" s="330"/>
    </row>
    <row r="206" spans="1:9" ht="15.75" hidden="1">
      <c r="A206" s="74"/>
      <c r="B206" s="104"/>
      <c r="C206" s="54"/>
      <c r="D206" s="54"/>
      <c r="E206" s="54"/>
      <c r="F206" s="54"/>
      <c r="G206" s="107"/>
      <c r="H206" s="318"/>
      <c r="I206" s="331"/>
    </row>
    <row r="207" spans="1:9" ht="15.75" hidden="1">
      <c r="A207" s="74"/>
      <c r="B207" s="104"/>
      <c r="C207" s="54"/>
      <c r="D207" s="54"/>
      <c r="E207" s="54"/>
      <c r="F207" s="54"/>
      <c r="G207" s="107"/>
      <c r="H207" s="318"/>
      <c r="I207" s="331"/>
    </row>
    <row r="208" spans="1:9" ht="29.25" customHeight="1">
      <c r="A208" s="355" t="s">
        <v>325</v>
      </c>
      <c r="B208" s="354">
        <v>951</v>
      </c>
      <c r="C208" s="302" t="s">
        <v>326</v>
      </c>
      <c r="D208" s="302" t="s">
        <v>113</v>
      </c>
      <c r="E208" s="302" t="s">
        <v>262</v>
      </c>
      <c r="F208" s="302" t="s">
        <v>347</v>
      </c>
      <c r="G208" s="337">
        <f>G209+G233+G240</f>
        <v>7551.383379999999</v>
      </c>
      <c r="H208" s="337">
        <f>H209+H233+H240</f>
        <v>6801.83316</v>
      </c>
      <c r="I208" s="371">
        <f aca="true" t="shared" si="13" ref="I208:I228">H208/G208*100</f>
        <v>90.07400124876193</v>
      </c>
    </row>
    <row r="209" spans="1:9" ht="15">
      <c r="A209" s="75" t="s">
        <v>299</v>
      </c>
      <c r="B209" s="97">
        <v>951</v>
      </c>
      <c r="C209" s="80" t="s">
        <v>326</v>
      </c>
      <c r="D209" s="80" t="s">
        <v>114</v>
      </c>
      <c r="E209" s="80" t="s">
        <v>262</v>
      </c>
      <c r="F209" s="80" t="s">
        <v>347</v>
      </c>
      <c r="G209" s="115">
        <f>G210+G214+G217+G220+G225</f>
        <v>3948.5851399999997</v>
      </c>
      <c r="H209" s="115">
        <f>H210+H214+H217+H220+H225</f>
        <v>3656.30785</v>
      </c>
      <c r="I209" s="329">
        <f t="shared" si="13"/>
        <v>92.59792356914964</v>
      </c>
    </row>
    <row r="210" spans="1:9" ht="17.25" customHeight="1">
      <c r="A210" s="29" t="s">
        <v>300</v>
      </c>
      <c r="B210" s="32">
        <v>951</v>
      </c>
      <c r="C210" s="54" t="s">
        <v>326</v>
      </c>
      <c r="D210" s="54" t="s">
        <v>114</v>
      </c>
      <c r="E210" s="54" t="s">
        <v>20</v>
      </c>
      <c r="F210" s="54" t="s">
        <v>347</v>
      </c>
      <c r="G210" s="107">
        <f aca="true" t="shared" si="14" ref="G210:H212">G211</f>
        <v>1052.6</v>
      </c>
      <c r="H210" s="107">
        <f t="shared" si="14"/>
        <v>1020.8059</v>
      </c>
      <c r="I210" s="329">
        <f t="shared" si="13"/>
        <v>96.97946988409653</v>
      </c>
    </row>
    <row r="211" spans="1:9" ht="30">
      <c r="A211" s="29" t="s">
        <v>474</v>
      </c>
      <c r="B211" s="32">
        <v>951</v>
      </c>
      <c r="C211" s="54" t="s">
        <v>326</v>
      </c>
      <c r="D211" s="54" t="s">
        <v>114</v>
      </c>
      <c r="E211" s="54" t="s">
        <v>20</v>
      </c>
      <c r="F211" s="54" t="s">
        <v>347</v>
      </c>
      <c r="G211" s="107">
        <f t="shared" si="14"/>
        <v>1052.6</v>
      </c>
      <c r="H211" s="107">
        <f t="shared" si="14"/>
        <v>1020.8059</v>
      </c>
      <c r="I211" s="329">
        <f t="shared" si="13"/>
        <v>96.97946988409653</v>
      </c>
    </row>
    <row r="212" spans="1:9" ht="30" customHeight="1">
      <c r="A212" s="29" t="s">
        <v>151</v>
      </c>
      <c r="B212" s="32">
        <v>951</v>
      </c>
      <c r="C212" s="54" t="s">
        <v>326</v>
      </c>
      <c r="D212" s="54" t="s">
        <v>114</v>
      </c>
      <c r="E212" s="54" t="s">
        <v>20</v>
      </c>
      <c r="F212" s="54" t="s">
        <v>121</v>
      </c>
      <c r="G212" s="107">
        <f t="shared" si="14"/>
        <v>1052.6</v>
      </c>
      <c r="H212" s="107">
        <f t="shared" si="14"/>
        <v>1020.8059</v>
      </c>
      <c r="I212" s="329">
        <f t="shared" si="13"/>
        <v>96.97946988409653</v>
      </c>
    </row>
    <row r="213" spans="1:9" ht="43.5" customHeight="1">
      <c r="A213" s="61" t="s">
        <v>152</v>
      </c>
      <c r="B213" s="32">
        <v>951</v>
      </c>
      <c r="C213" s="54" t="s">
        <v>326</v>
      </c>
      <c r="D213" s="54" t="s">
        <v>114</v>
      </c>
      <c r="E213" s="54" t="s">
        <v>20</v>
      </c>
      <c r="F213" s="54" t="s">
        <v>153</v>
      </c>
      <c r="G213" s="107">
        <v>1052.6</v>
      </c>
      <c r="H213" s="107">
        <v>1020.8059</v>
      </c>
      <c r="I213" s="329">
        <f t="shared" si="13"/>
        <v>96.97946988409653</v>
      </c>
    </row>
    <row r="214" spans="1:9" ht="30">
      <c r="A214" s="29" t="s">
        <v>419</v>
      </c>
      <c r="B214" s="32">
        <v>951</v>
      </c>
      <c r="C214" s="54" t="s">
        <v>326</v>
      </c>
      <c r="D214" s="54" t="s">
        <v>114</v>
      </c>
      <c r="E214" s="54" t="s">
        <v>87</v>
      </c>
      <c r="F214" s="54" t="s">
        <v>347</v>
      </c>
      <c r="G214" s="107">
        <f>G216</f>
        <v>1085.29155</v>
      </c>
      <c r="H214" s="107">
        <f>H216</f>
        <v>887.03029</v>
      </c>
      <c r="I214" s="329">
        <f t="shared" si="13"/>
        <v>81.73198160439009</v>
      </c>
    </row>
    <row r="215" spans="1:9" ht="30">
      <c r="A215" s="29" t="s">
        <v>151</v>
      </c>
      <c r="B215" s="32">
        <v>951</v>
      </c>
      <c r="C215" s="54" t="s">
        <v>326</v>
      </c>
      <c r="D215" s="54" t="s">
        <v>114</v>
      </c>
      <c r="E215" s="54" t="s">
        <v>87</v>
      </c>
      <c r="F215" s="54" t="s">
        <v>121</v>
      </c>
      <c r="G215" s="107">
        <f>G216</f>
        <v>1085.29155</v>
      </c>
      <c r="H215" s="107">
        <f>H216</f>
        <v>887.03029</v>
      </c>
      <c r="I215" s="329">
        <f t="shared" si="13"/>
        <v>81.73198160439009</v>
      </c>
    </row>
    <row r="216" spans="1:9" ht="45">
      <c r="A216" s="61" t="s">
        <v>152</v>
      </c>
      <c r="B216" s="32">
        <v>951</v>
      </c>
      <c r="C216" s="54" t="s">
        <v>326</v>
      </c>
      <c r="D216" s="54" t="s">
        <v>114</v>
      </c>
      <c r="E216" s="54" t="s">
        <v>87</v>
      </c>
      <c r="F216" s="54" t="s">
        <v>153</v>
      </c>
      <c r="G216" s="107">
        <v>1085.29155</v>
      </c>
      <c r="H216" s="107">
        <v>887.03029</v>
      </c>
      <c r="I216" s="329">
        <f t="shared" si="13"/>
        <v>81.73198160439009</v>
      </c>
    </row>
    <row r="217" spans="1:9" ht="45">
      <c r="A217" s="76" t="s">
        <v>595</v>
      </c>
      <c r="B217" s="97">
        <v>951</v>
      </c>
      <c r="C217" s="80" t="s">
        <v>326</v>
      </c>
      <c r="D217" s="80" t="s">
        <v>114</v>
      </c>
      <c r="E217" s="80" t="s">
        <v>596</v>
      </c>
      <c r="F217" s="80" t="s">
        <v>347</v>
      </c>
      <c r="G217" s="316">
        <f>G218</f>
        <v>556.49527</v>
      </c>
      <c r="H217" s="316">
        <f>H218</f>
        <v>556.48527</v>
      </c>
      <c r="I217" s="329">
        <f t="shared" si="13"/>
        <v>99.99820303953348</v>
      </c>
    </row>
    <row r="218" spans="1:9" ht="30">
      <c r="A218" s="29" t="s">
        <v>151</v>
      </c>
      <c r="B218" s="32">
        <v>951</v>
      </c>
      <c r="C218" s="54" t="s">
        <v>326</v>
      </c>
      <c r="D218" s="54" t="s">
        <v>114</v>
      </c>
      <c r="E218" s="54" t="s">
        <v>596</v>
      </c>
      <c r="F218" s="54" t="s">
        <v>121</v>
      </c>
      <c r="G218" s="312">
        <f>G219</f>
        <v>556.49527</v>
      </c>
      <c r="H218" s="312">
        <f>H219</f>
        <v>556.48527</v>
      </c>
      <c r="I218" s="329">
        <f t="shared" si="13"/>
        <v>99.99820303953348</v>
      </c>
    </row>
    <row r="219" spans="1:9" ht="45">
      <c r="A219" s="61" t="s">
        <v>152</v>
      </c>
      <c r="B219" s="32">
        <v>951</v>
      </c>
      <c r="C219" s="54" t="s">
        <v>326</v>
      </c>
      <c r="D219" s="54" t="s">
        <v>114</v>
      </c>
      <c r="E219" s="54" t="s">
        <v>596</v>
      </c>
      <c r="F219" s="54" t="s">
        <v>153</v>
      </c>
      <c r="G219" s="312">
        <v>556.49527</v>
      </c>
      <c r="H219" s="312">
        <v>556.48527</v>
      </c>
      <c r="I219" s="329">
        <f t="shared" si="13"/>
        <v>99.99820303953348</v>
      </c>
    </row>
    <row r="220" spans="1:9" ht="78" customHeight="1">
      <c r="A220" s="75" t="s">
        <v>536</v>
      </c>
      <c r="B220" s="97" t="s">
        <v>143</v>
      </c>
      <c r="C220" s="80" t="s">
        <v>326</v>
      </c>
      <c r="D220" s="80" t="s">
        <v>114</v>
      </c>
      <c r="E220" s="80" t="s">
        <v>534</v>
      </c>
      <c r="F220" s="80" t="s">
        <v>347</v>
      </c>
      <c r="G220" s="316">
        <f>G221</f>
        <v>968.69832</v>
      </c>
      <c r="H220" s="316">
        <f>H221</f>
        <v>968.1206999999999</v>
      </c>
      <c r="I220" s="329">
        <f t="shared" si="13"/>
        <v>99.94037152867159</v>
      </c>
    </row>
    <row r="221" spans="1:9" ht="60">
      <c r="A221" s="61" t="s">
        <v>532</v>
      </c>
      <c r="B221" s="32" t="s">
        <v>143</v>
      </c>
      <c r="C221" s="54" t="s">
        <v>326</v>
      </c>
      <c r="D221" s="54" t="s">
        <v>114</v>
      </c>
      <c r="E221" s="54" t="s">
        <v>534</v>
      </c>
      <c r="F221" s="54" t="s">
        <v>347</v>
      </c>
      <c r="G221" s="312">
        <f>G222</f>
        <v>968.69832</v>
      </c>
      <c r="H221" s="312">
        <f>H222</f>
        <v>968.1206999999999</v>
      </c>
      <c r="I221" s="329">
        <f t="shared" si="13"/>
        <v>99.94037152867159</v>
      </c>
    </row>
    <row r="222" spans="1:9" ht="15">
      <c r="A222" s="29" t="s">
        <v>156</v>
      </c>
      <c r="B222" s="32" t="s">
        <v>143</v>
      </c>
      <c r="C222" s="54" t="s">
        <v>326</v>
      </c>
      <c r="D222" s="54" t="s">
        <v>114</v>
      </c>
      <c r="E222" s="54" t="s">
        <v>534</v>
      </c>
      <c r="F222" s="54" t="s">
        <v>157</v>
      </c>
      <c r="G222" s="312">
        <f>G223+G224</f>
        <v>968.69832</v>
      </c>
      <c r="H222" s="312">
        <f>H223+H224</f>
        <v>968.1206999999999</v>
      </c>
      <c r="I222" s="329">
        <f t="shared" si="13"/>
        <v>99.94037152867159</v>
      </c>
    </row>
    <row r="223" spans="1:9" ht="41.25" customHeight="1">
      <c r="A223" s="29" t="s">
        <v>671</v>
      </c>
      <c r="B223" s="32" t="s">
        <v>143</v>
      </c>
      <c r="C223" s="54" t="s">
        <v>326</v>
      </c>
      <c r="D223" s="54" t="s">
        <v>114</v>
      </c>
      <c r="E223" s="54" t="s">
        <v>533</v>
      </c>
      <c r="F223" s="54" t="s">
        <v>393</v>
      </c>
      <c r="G223" s="312">
        <v>959.01132</v>
      </c>
      <c r="H223" s="107">
        <v>958.43949</v>
      </c>
      <c r="I223" s="329">
        <f t="shared" si="13"/>
        <v>99.94037296660899</v>
      </c>
    </row>
    <row r="224" spans="1:9" ht="43.5" customHeight="1">
      <c r="A224" s="29" t="s">
        <v>672</v>
      </c>
      <c r="B224" s="32" t="s">
        <v>143</v>
      </c>
      <c r="C224" s="54" t="s">
        <v>326</v>
      </c>
      <c r="D224" s="54" t="s">
        <v>114</v>
      </c>
      <c r="E224" s="54" t="s">
        <v>620</v>
      </c>
      <c r="F224" s="54" t="s">
        <v>393</v>
      </c>
      <c r="G224" s="312">
        <v>9.687</v>
      </c>
      <c r="H224" s="107">
        <v>9.68121</v>
      </c>
      <c r="I224" s="329">
        <f t="shared" si="13"/>
        <v>99.94022917311862</v>
      </c>
    </row>
    <row r="225" spans="1:9" ht="33" customHeight="1">
      <c r="A225" s="76" t="s">
        <v>115</v>
      </c>
      <c r="B225" s="32" t="s">
        <v>143</v>
      </c>
      <c r="C225" s="54" t="s">
        <v>326</v>
      </c>
      <c r="D225" s="54" t="s">
        <v>114</v>
      </c>
      <c r="E225" s="80" t="s">
        <v>7</v>
      </c>
      <c r="F225" s="80" t="s">
        <v>347</v>
      </c>
      <c r="G225" s="316">
        <f>G226</f>
        <v>285.5</v>
      </c>
      <c r="H225" s="316">
        <f>H226</f>
        <v>223.86569</v>
      </c>
      <c r="I225" s="329">
        <f t="shared" si="13"/>
        <v>78.4118003502627</v>
      </c>
    </row>
    <row r="226" spans="1:9" ht="48.75" customHeight="1">
      <c r="A226" s="61" t="s">
        <v>116</v>
      </c>
      <c r="B226" s="32" t="s">
        <v>143</v>
      </c>
      <c r="C226" s="54" t="s">
        <v>326</v>
      </c>
      <c r="D226" s="54" t="s">
        <v>114</v>
      </c>
      <c r="E226" s="54" t="s">
        <v>8</v>
      </c>
      <c r="F226" s="54" t="s">
        <v>347</v>
      </c>
      <c r="G226" s="312">
        <f>G227+G230</f>
        <v>285.5</v>
      </c>
      <c r="H226" s="312">
        <f>H227+H230</f>
        <v>223.86569</v>
      </c>
      <c r="I226" s="329">
        <f t="shared" si="13"/>
        <v>78.4118003502627</v>
      </c>
    </row>
    <row r="227" spans="1:9" ht="105">
      <c r="A227" s="99" t="s">
        <v>544</v>
      </c>
      <c r="B227" s="347" t="s">
        <v>143</v>
      </c>
      <c r="C227" s="108" t="s">
        <v>326</v>
      </c>
      <c r="D227" s="108" t="s">
        <v>114</v>
      </c>
      <c r="E227" s="108" t="s">
        <v>543</v>
      </c>
      <c r="F227" s="108" t="s">
        <v>347</v>
      </c>
      <c r="G227" s="313">
        <f>G228</f>
        <v>275</v>
      </c>
      <c r="H227" s="313">
        <f>H228</f>
        <v>213.36569</v>
      </c>
      <c r="I227" s="329">
        <f t="shared" si="13"/>
        <v>77.58752363636363</v>
      </c>
    </row>
    <row r="228" spans="1:9" ht="30">
      <c r="A228" s="29" t="s">
        <v>151</v>
      </c>
      <c r="B228" s="32" t="s">
        <v>143</v>
      </c>
      <c r="C228" s="54" t="s">
        <v>326</v>
      </c>
      <c r="D228" s="54" t="s">
        <v>114</v>
      </c>
      <c r="E228" s="54" t="s">
        <v>543</v>
      </c>
      <c r="F228" s="54" t="s">
        <v>121</v>
      </c>
      <c r="G228" s="312">
        <f>G229</f>
        <v>275</v>
      </c>
      <c r="H228" s="312">
        <f>H229</f>
        <v>213.36569</v>
      </c>
      <c r="I228" s="329">
        <f t="shared" si="13"/>
        <v>77.58752363636363</v>
      </c>
    </row>
    <row r="229" spans="1:9" ht="45">
      <c r="A229" s="61" t="s">
        <v>152</v>
      </c>
      <c r="B229" s="32" t="s">
        <v>143</v>
      </c>
      <c r="C229" s="54" t="s">
        <v>326</v>
      </c>
      <c r="D229" s="54" t="s">
        <v>114</v>
      </c>
      <c r="E229" s="54" t="s">
        <v>543</v>
      </c>
      <c r="F229" s="54" t="s">
        <v>153</v>
      </c>
      <c r="G229" s="312">
        <v>275</v>
      </c>
      <c r="H229" s="107">
        <v>213.36569</v>
      </c>
      <c r="I229" s="329">
        <f>H229/G229*100</f>
        <v>77.58752363636363</v>
      </c>
    </row>
    <row r="230" spans="1:9" ht="57.75" customHeight="1">
      <c r="A230" s="76" t="s">
        <v>453</v>
      </c>
      <c r="B230" s="97" t="s">
        <v>143</v>
      </c>
      <c r="C230" s="80" t="s">
        <v>326</v>
      </c>
      <c r="D230" s="80" t="s">
        <v>114</v>
      </c>
      <c r="E230" s="80" t="s">
        <v>262</v>
      </c>
      <c r="F230" s="80" t="s">
        <v>347</v>
      </c>
      <c r="G230" s="115">
        <f>G231</f>
        <v>10.5</v>
      </c>
      <c r="H230" s="115">
        <f>H231</f>
        <v>10.5</v>
      </c>
      <c r="I230" s="329">
        <f aca="true" t="shared" si="15" ref="I230:I293">H230/G230*100</f>
        <v>100</v>
      </c>
    </row>
    <row r="231" spans="1:9" ht="27.75" customHeight="1">
      <c r="A231" s="103" t="s">
        <v>151</v>
      </c>
      <c r="B231" s="104" t="s">
        <v>143</v>
      </c>
      <c r="C231" s="40" t="s">
        <v>326</v>
      </c>
      <c r="D231" s="40" t="s">
        <v>114</v>
      </c>
      <c r="E231" s="54" t="s">
        <v>621</v>
      </c>
      <c r="F231" s="54" t="s">
        <v>121</v>
      </c>
      <c r="G231" s="318">
        <f>G232</f>
        <v>10.5</v>
      </c>
      <c r="H231" s="318">
        <f>H232</f>
        <v>10.5</v>
      </c>
      <c r="I231" s="329">
        <f t="shared" si="15"/>
        <v>100</v>
      </c>
    </row>
    <row r="232" spans="1:9" ht="42" customHeight="1">
      <c r="A232" s="105" t="s">
        <v>152</v>
      </c>
      <c r="B232" s="104" t="s">
        <v>143</v>
      </c>
      <c r="C232" s="40" t="s">
        <v>326</v>
      </c>
      <c r="D232" s="40" t="s">
        <v>114</v>
      </c>
      <c r="E232" s="54" t="s">
        <v>621</v>
      </c>
      <c r="F232" s="54" t="s">
        <v>153</v>
      </c>
      <c r="G232" s="318">
        <v>10.5</v>
      </c>
      <c r="H232" s="318">
        <v>10.5</v>
      </c>
      <c r="I232" s="329">
        <f t="shared" si="15"/>
        <v>100</v>
      </c>
    </row>
    <row r="233" spans="1:9" ht="15">
      <c r="A233" s="76" t="s">
        <v>331</v>
      </c>
      <c r="B233" s="97">
        <v>951</v>
      </c>
      <c r="C233" s="80" t="s">
        <v>326</v>
      </c>
      <c r="D233" s="80" t="s">
        <v>119</v>
      </c>
      <c r="E233" s="80" t="s">
        <v>262</v>
      </c>
      <c r="F233" s="80" t="s">
        <v>347</v>
      </c>
      <c r="G233" s="115">
        <f aca="true" t="shared" si="16" ref="G233:H235">G234</f>
        <v>15</v>
      </c>
      <c r="H233" s="115">
        <f t="shared" si="16"/>
        <v>14.0252</v>
      </c>
      <c r="I233" s="329">
        <f t="shared" si="15"/>
        <v>93.50133333333333</v>
      </c>
    </row>
    <row r="234" spans="1:9" ht="15">
      <c r="A234" s="61" t="s">
        <v>332</v>
      </c>
      <c r="B234" s="32">
        <v>951</v>
      </c>
      <c r="C234" s="54" t="s">
        <v>326</v>
      </c>
      <c r="D234" s="54" t="s">
        <v>119</v>
      </c>
      <c r="E234" s="54" t="s">
        <v>21</v>
      </c>
      <c r="F234" s="54" t="s">
        <v>347</v>
      </c>
      <c r="G234" s="107">
        <f t="shared" si="16"/>
        <v>15</v>
      </c>
      <c r="H234" s="107">
        <f t="shared" si="16"/>
        <v>14.0252</v>
      </c>
      <c r="I234" s="329">
        <f t="shared" si="15"/>
        <v>93.50133333333333</v>
      </c>
    </row>
    <row r="235" spans="1:9" ht="30">
      <c r="A235" s="29" t="s">
        <v>151</v>
      </c>
      <c r="B235" s="32">
        <v>951</v>
      </c>
      <c r="C235" s="54" t="s">
        <v>326</v>
      </c>
      <c r="D235" s="54" t="s">
        <v>119</v>
      </c>
      <c r="E235" s="54" t="s">
        <v>21</v>
      </c>
      <c r="F235" s="54" t="s">
        <v>121</v>
      </c>
      <c r="G235" s="107">
        <f t="shared" si="16"/>
        <v>15</v>
      </c>
      <c r="H235" s="107">
        <f t="shared" si="16"/>
        <v>14.0252</v>
      </c>
      <c r="I235" s="329">
        <f t="shared" si="15"/>
        <v>93.50133333333333</v>
      </c>
    </row>
    <row r="236" spans="1:9" ht="45">
      <c r="A236" s="61" t="s">
        <v>152</v>
      </c>
      <c r="B236" s="32">
        <v>951</v>
      </c>
      <c r="C236" s="54" t="s">
        <v>326</v>
      </c>
      <c r="D236" s="54" t="s">
        <v>119</v>
      </c>
      <c r="E236" s="54" t="s">
        <v>21</v>
      </c>
      <c r="F236" s="54" t="s">
        <v>153</v>
      </c>
      <c r="G236" s="107">
        <v>15</v>
      </c>
      <c r="H236" s="107">
        <v>14.0252</v>
      </c>
      <c r="I236" s="329">
        <f t="shared" si="15"/>
        <v>93.50133333333333</v>
      </c>
    </row>
    <row r="237" spans="1:9" ht="15" hidden="1">
      <c r="A237" s="61" t="s">
        <v>333</v>
      </c>
      <c r="B237" s="32">
        <v>951</v>
      </c>
      <c r="C237" s="54" t="s">
        <v>326</v>
      </c>
      <c r="D237" s="54" t="s">
        <v>119</v>
      </c>
      <c r="E237" s="54" t="s">
        <v>22</v>
      </c>
      <c r="F237" s="54" t="s">
        <v>347</v>
      </c>
      <c r="G237" s="107" t="e">
        <f>H237+I237</f>
        <v>#DIV/0!</v>
      </c>
      <c r="H237" s="107">
        <f>H238</f>
        <v>0</v>
      </c>
      <c r="I237" s="329" t="e">
        <f t="shared" si="15"/>
        <v>#DIV/0!</v>
      </c>
    </row>
    <row r="238" spans="1:9" ht="30" hidden="1">
      <c r="A238" s="29" t="s">
        <v>151</v>
      </c>
      <c r="B238" s="32">
        <v>951</v>
      </c>
      <c r="C238" s="54" t="s">
        <v>326</v>
      </c>
      <c r="D238" s="54" t="s">
        <v>119</v>
      </c>
      <c r="E238" s="54" t="s">
        <v>22</v>
      </c>
      <c r="F238" s="54" t="s">
        <v>121</v>
      </c>
      <c r="G238" s="107" t="e">
        <f>H238+I238</f>
        <v>#DIV/0!</v>
      </c>
      <c r="H238" s="107">
        <f>H239</f>
        <v>0</v>
      </c>
      <c r="I238" s="329" t="e">
        <f t="shared" si="15"/>
        <v>#DIV/0!</v>
      </c>
    </row>
    <row r="239" spans="1:9" ht="45" hidden="1">
      <c r="A239" s="61" t="s">
        <v>152</v>
      </c>
      <c r="B239" s="32">
        <v>951</v>
      </c>
      <c r="C239" s="54" t="s">
        <v>326</v>
      </c>
      <c r="D239" s="54" t="s">
        <v>119</v>
      </c>
      <c r="E239" s="54" t="s">
        <v>22</v>
      </c>
      <c r="F239" s="54" t="s">
        <v>153</v>
      </c>
      <c r="G239" s="107">
        <f>H239+I239</f>
        <v>0</v>
      </c>
      <c r="H239" s="107">
        <f>100-100</f>
        <v>0</v>
      </c>
      <c r="I239" s="329" t="e">
        <f t="shared" si="15"/>
        <v>#DIV/0!</v>
      </c>
    </row>
    <row r="240" spans="1:9" ht="50.25" customHeight="1">
      <c r="A240" s="75" t="s">
        <v>303</v>
      </c>
      <c r="B240" s="97">
        <v>951</v>
      </c>
      <c r="C240" s="80" t="s">
        <v>326</v>
      </c>
      <c r="D240" s="80" t="s">
        <v>326</v>
      </c>
      <c r="E240" s="80" t="s">
        <v>262</v>
      </c>
      <c r="F240" s="80" t="s">
        <v>347</v>
      </c>
      <c r="G240" s="115">
        <f>G241</f>
        <v>3587.79824</v>
      </c>
      <c r="H240" s="115">
        <f>H241</f>
        <v>3131.50011</v>
      </c>
      <c r="I240" s="329">
        <f t="shared" si="15"/>
        <v>87.2819456536664</v>
      </c>
    </row>
    <row r="241" spans="1:9" ht="30">
      <c r="A241" s="29" t="s">
        <v>115</v>
      </c>
      <c r="B241" s="32">
        <v>951</v>
      </c>
      <c r="C241" s="54" t="s">
        <v>326</v>
      </c>
      <c r="D241" s="54" t="s">
        <v>326</v>
      </c>
      <c r="E241" s="54" t="s">
        <v>7</v>
      </c>
      <c r="F241" s="54" t="s">
        <v>347</v>
      </c>
      <c r="G241" s="107">
        <f>G242</f>
        <v>3587.79824</v>
      </c>
      <c r="H241" s="107">
        <f>H242</f>
        <v>3131.50011</v>
      </c>
      <c r="I241" s="329">
        <f t="shared" si="15"/>
        <v>87.2819456536664</v>
      </c>
    </row>
    <row r="242" spans="1:9" ht="45">
      <c r="A242" s="29" t="s">
        <v>116</v>
      </c>
      <c r="B242" s="32">
        <v>951</v>
      </c>
      <c r="C242" s="54" t="s">
        <v>326</v>
      </c>
      <c r="D242" s="54" t="s">
        <v>326</v>
      </c>
      <c r="E242" s="54" t="s">
        <v>8</v>
      </c>
      <c r="F242" s="54" t="s">
        <v>347</v>
      </c>
      <c r="G242" s="107">
        <f>G243+G248</f>
        <v>3587.79824</v>
      </c>
      <c r="H242" s="107">
        <f>H243+H248</f>
        <v>3131.50011</v>
      </c>
      <c r="I242" s="329">
        <f t="shared" si="15"/>
        <v>87.2819456536664</v>
      </c>
    </row>
    <row r="243" spans="1:9" ht="45">
      <c r="A243" s="29" t="s">
        <v>327</v>
      </c>
      <c r="B243" s="32">
        <v>951</v>
      </c>
      <c r="C243" s="54" t="s">
        <v>326</v>
      </c>
      <c r="D243" s="54" t="s">
        <v>326</v>
      </c>
      <c r="E243" s="54" t="s">
        <v>11</v>
      </c>
      <c r="F243" s="54" t="s">
        <v>347</v>
      </c>
      <c r="G243" s="107">
        <f>G244+G246</f>
        <v>3586.103</v>
      </c>
      <c r="H243" s="107">
        <f>H244+H246</f>
        <v>3129.80487</v>
      </c>
      <c r="I243" s="329">
        <f t="shared" si="15"/>
        <v>87.27593351334303</v>
      </c>
    </row>
    <row r="244" spans="1:9" ht="90">
      <c r="A244" s="29" t="s">
        <v>148</v>
      </c>
      <c r="B244" s="32">
        <v>951</v>
      </c>
      <c r="C244" s="54" t="s">
        <v>326</v>
      </c>
      <c r="D244" s="54" t="s">
        <v>326</v>
      </c>
      <c r="E244" s="54" t="s">
        <v>11</v>
      </c>
      <c r="F244" s="54" t="s">
        <v>117</v>
      </c>
      <c r="G244" s="107">
        <f>G245</f>
        <v>3234.81</v>
      </c>
      <c r="H244" s="107">
        <f>H245</f>
        <v>2808.55414</v>
      </c>
      <c r="I244" s="329">
        <f t="shared" si="15"/>
        <v>86.82284709148297</v>
      </c>
    </row>
    <row r="245" spans="1:9" ht="30">
      <c r="A245" s="61" t="s">
        <v>150</v>
      </c>
      <c r="B245" s="32">
        <v>951</v>
      </c>
      <c r="C245" s="54" t="s">
        <v>326</v>
      </c>
      <c r="D245" s="54" t="s">
        <v>326</v>
      </c>
      <c r="E245" s="54" t="s">
        <v>11</v>
      </c>
      <c r="F245" s="54" t="s">
        <v>149</v>
      </c>
      <c r="G245" s="107">
        <v>3234.81</v>
      </c>
      <c r="H245" s="107">
        <v>2808.55414</v>
      </c>
      <c r="I245" s="329">
        <f t="shared" si="15"/>
        <v>86.82284709148297</v>
      </c>
    </row>
    <row r="246" spans="1:9" ht="30">
      <c r="A246" s="29" t="s">
        <v>151</v>
      </c>
      <c r="B246" s="32">
        <v>951</v>
      </c>
      <c r="C246" s="54" t="s">
        <v>326</v>
      </c>
      <c r="D246" s="54" t="s">
        <v>326</v>
      </c>
      <c r="E246" s="54" t="s">
        <v>11</v>
      </c>
      <c r="F246" s="54" t="s">
        <v>121</v>
      </c>
      <c r="G246" s="107">
        <f>G247</f>
        <v>351.293</v>
      </c>
      <c r="H246" s="107">
        <f>H247</f>
        <v>321.25073</v>
      </c>
      <c r="I246" s="329">
        <f t="shared" si="15"/>
        <v>91.44808749391532</v>
      </c>
    </row>
    <row r="247" spans="1:9" ht="45">
      <c r="A247" s="61" t="s">
        <v>152</v>
      </c>
      <c r="B247" s="32">
        <v>951</v>
      </c>
      <c r="C247" s="54" t="s">
        <v>326</v>
      </c>
      <c r="D247" s="54" t="s">
        <v>326</v>
      </c>
      <c r="E247" s="54" t="s">
        <v>11</v>
      </c>
      <c r="F247" s="54" t="s">
        <v>153</v>
      </c>
      <c r="G247" s="107">
        <v>351.293</v>
      </c>
      <c r="H247" s="107">
        <v>321.25073</v>
      </c>
      <c r="I247" s="329">
        <f t="shared" si="15"/>
        <v>91.44808749391532</v>
      </c>
    </row>
    <row r="248" spans="1:9" ht="75">
      <c r="A248" s="76" t="s">
        <v>622</v>
      </c>
      <c r="B248" s="32" t="s">
        <v>143</v>
      </c>
      <c r="C248" s="54" t="s">
        <v>326</v>
      </c>
      <c r="D248" s="54" t="s">
        <v>326</v>
      </c>
      <c r="E248" s="54" t="s">
        <v>23</v>
      </c>
      <c r="F248" s="54" t="s">
        <v>347</v>
      </c>
      <c r="G248" s="107">
        <f>G249</f>
        <v>1.69524</v>
      </c>
      <c r="H248" s="107">
        <f>H249</f>
        <v>1.69524</v>
      </c>
      <c r="I248" s="329">
        <f t="shared" si="15"/>
        <v>100</v>
      </c>
    </row>
    <row r="249" spans="1:9" ht="83.25" customHeight="1">
      <c r="A249" s="61" t="s">
        <v>301</v>
      </c>
      <c r="B249" s="32" t="s">
        <v>143</v>
      </c>
      <c r="C249" s="54" t="s">
        <v>326</v>
      </c>
      <c r="D249" s="54" t="s">
        <v>326</v>
      </c>
      <c r="E249" s="54" t="s">
        <v>23</v>
      </c>
      <c r="F249" s="54" t="s">
        <v>117</v>
      </c>
      <c r="G249" s="107">
        <f>G250</f>
        <v>1.69524</v>
      </c>
      <c r="H249" s="107">
        <f>H250</f>
        <v>1.69524</v>
      </c>
      <c r="I249" s="329">
        <f t="shared" si="15"/>
        <v>100</v>
      </c>
    </row>
    <row r="250" spans="1:9" ht="30">
      <c r="A250" s="61" t="s">
        <v>150</v>
      </c>
      <c r="B250" s="32" t="s">
        <v>143</v>
      </c>
      <c r="C250" s="54" t="s">
        <v>326</v>
      </c>
      <c r="D250" s="54" t="s">
        <v>326</v>
      </c>
      <c r="E250" s="54" t="s">
        <v>23</v>
      </c>
      <c r="F250" s="54" t="s">
        <v>149</v>
      </c>
      <c r="G250" s="107">
        <v>1.69524</v>
      </c>
      <c r="H250" s="107">
        <v>1.69524</v>
      </c>
      <c r="I250" s="329">
        <f t="shared" si="15"/>
        <v>100</v>
      </c>
    </row>
    <row r="251" spans="1:9" ht="30" hidden="1">
      <c r="A251" s="61" t="s">
        <v>151</v>
      </c>
      <c r="B251" s="32" t="s">
        <v>143</v>
      </c>
      <c r="C251" s="54" t="s">
        <v>326</v>
      </c>
      <c r="D251" s="54" t="s">
        <v>326</v>
      </c>
      <c r="E251" s="54" t="s">
        <v>23</v>
      </c>
      <c r="F251" s="54" t="s">
        <v>121</v>
      </c>
      <c r="G251" s="107" t="e">
        <f>H251+I251</f>
        <v>#DIV/0!</v>
      </c>
      <c r="H251" s="107"/>
      <c r="I251" s="329" t="e">
        <f t="shared" si="15"/>
        <v>#DIV/0!</v>
      </c>
    </row>
    <row r="252" spans="1:9" ht="45" hidden="1">
      <c r="A252" s="61" t="s">
        <v>152</v>
      </c>
      <c r="B252" s="32" t="s">
        <v>143</v>
      </c>
      <c r="C252" s="54" t="s">
        <v>326</v>
      </c>
      <c r="D252" s="54" t="s">
        <v>326</v>
      </c>
      <c r="E252" s="54" t="s">
        <v>23</v>
      </c>
      <c r="F252" s="54" t="s">
        <v>153</v>
      </c>
      <c r="G252" s="107">
        <f>H252+I252</f>
        <v>0</v>
      </c>
      <c r="H252" s="107"/>
      <c r="I252" s="329" t="e">
        <f t="shared" si="15"/>
        <v>#DIV/0!</v>
      </c>
    </row>
    <row r="253" spans="1:9" ht="15">
      <c r="A253" s="370" t="s">
        <v>304</v>
      </c>
      <c r="B253" s="354">
        <v>951</v>
      </c>
      <c r="C253" s="354" t="s">
        <v>329</v>
      </c>
      <c r="D253" s="354" t="s">
        <v>113</v>
      </c>
      <c r="E253" s="354" t="s">
        <v>262</v>
      </c>
      <c r="F253" s="354" t="s">
        <v>347</v>
      </c>
      <c r="G253" s="337">
        <f>G265+G285+G292</f>
        <v>21437.911330000003</v>
      </c>
      <c r="H253" s="337">
        <f>H265+H285+H292</f>
        <v>20046.8903</v>
      </c>
      <c r="I253" s="336">
        <f t="shared" si="15"/>
        <v>93.51139666272702</v>
      </c>
    </row>
    <row r="254" spans="1:9" ht="15" hidden="1">
      <c r="A254" s="356" t="s">
        <v>136</v>
      </c>
      <c r="B254" s="104">
        <v>951</v>
      </c>
      <c r="C254" s="40" t="s">
        <v>329</v>
      </c>
      <c r="D254" s="40" t="s">
        <v>114</v>
      </c>
      <c r="E254" s="104" t="s">
        <v>262</v>
      </c>
      <c r="F254" s="104" t="s">
        <v>347</v>
      </c>
      <c r="G254" s="318" t="e">
        <f>H254+I254</f>
        <v>#DIV/0!</v>
      </c>
      <c r="H254" s="318">
        <f>H255</f>
        <v>0</v>
      </c>
      <c r="I254" s="329" t="e">
        <f t="shared" si="15"/>
        <v>#DIV/0!</v>
      </c>
    </row>
    <row r="255" spans="1:9" ht="30" hidden="1">
      <c r="A255" s="357" t="s">
        <v>241</v>
      </c>
      <c r="B255" s="104">
        <v>951</v>
      </c>
      <c r="C255" s="40" t="s">
        <v>329</v>
      </c>
      <c r="D255" s="40" t="s">
        <v>114</v>
      </c>
      <c r="E255" s="40" t="s">
        <v>51</v>
      </c>
      <c r="F255" s="40" t="s">
        <v>347</v>
      </c>
      <c r="G255" s="319">
        <f aca="true" t="shared" si="17" ref="G255:G277">H255+I255</f>
        <v>0</v>
      </c>
      <c r="H255" s="318">
        <f>H256+H259</f>
        <v>0</v>
      </c>
      <c r="I255" s="329" t="e">
        <f t="shared" si="15"/>
        <v>#DIV/0!</v>
      </c>
    </row>
    <row r="256" spans="1:9" ht="30" hidden="1">
      <c r="A256" s="103" t="s">
        <v>177</v>
      </c>
      <c r="B256" s="104" t="s">
        <v>143</v>
      </c>
      <c r="C256" s="40" t="s">
        <v>329</v>
      </c>
      <c r="D256" s="40" t="s">
        <v>114</v>
      </c>
      <c r="E256" s="40" t="s">
        <v>52</v>
      </c>
      <c r="F256" s="40" t="s">
        <v>347</v>
      </c>
      <c r="G256" s="319" t="e">
        <f t="shared" si="17"/>
        <v>#DIV/0!</v>
      </c>
      <c r="H256" s="318">
        <f>H257</f>
        <v>0</v>
      </c>
      <c r="I256" s="329" t="e">
        <f t="shared" si="15"/>
        <v>#DIV/0!</v>
      </c>
    </row>
    <row r="257" spans="1:9" ht="45" hidden="1">
      <c r="A257" s="103" t="s">
        <v>174</v>
      </c>
      <c r="B257" s="104" t="s">
        <v>143</v>
      </c>
      <c r="C257" s="40" t="s">
        <v>329</v>
      </c>
      <c r="D257" s="40" t="s">
        <v>114</v>
      </c>
      <c r="E257" s="40" t="s">
        <v>52</v>
      </c>
      <c r="F257" s="40" t="s">
        <v>175</v>
      </c>
      <c r="G257" s="319">
        <f t="shared" si="17"/>
        <v>0</v>
      </c>
      <c r="H257" s="318">
        <f>H258</f>
        <v>0</v>
      </c>
      <c r="I257" s="329" t="e">
        <f t="shared" si="15"/>
        <v>#DIV/0!</v>
      </c>
    </row>
    <row r="258" spans="1:9" ht="15" hidden="1">
      <c r="A258" s="103" t="s">
        <v>176</v>
      </c>
      <c r="B258" s="104" t="s">
        <v>143</v>
      </c>
      <c r="C258" s="40" t="s">
        <v>329</v>
      </c>
      <c r="D258" s="40" t="s">
        <v>114</v>
      </c>
      <c r="E258" s="40" t="s">
        <v>55</v>
      </c>
      <c r="F258" s="40" t="s">
        <v>240</v>
      </c>
      <c r="G258" s="319">
        <f t="shared" si="17"/>
        <v>0</v>
      </c>
      <c r="H258" s="318"/>
      <c r="I258" s="329" t="e">
        <f t="shared" si="15"/>
        <v>#DIV/0!</v>
      </c>
    </row>
    <row r="259" spans="1:9" ht="30" hidden="1">
      <c r="A259" s="103" t="s">
        <v>178</v>
      </c>
      <c r="B259" s="104" t="s">
        <v>143</v>
      </c>
      <c r="C259" s="40" t="s">
        <v>329</v>
      </c>
      <c r="D259" s="40" t="s">
        <v>114</v>
      </c>
      <c r="E259" s="40" t="s">
        <v>52</v>
      </c>
      <c r="F259" s="40" t="s">
        <v>347</v>
      </c>
      <c r="G259" s="319" t="e">
        <f t="shared" si="17"/>
        <v>#DIV/0!</v>
      </c>
      <c r="H259" s="318">
        <f>H260</f>
        <v>0</v>
      </c>
      <c r="I259" s="329" t="e">
        <f t="shared" si="15"/>
        <v>#DIV/0!</v>
      </c>
    </row>
    <row r="260" spans="1:9" ht="45" hidden="1">
      <c r="A260" s="103" t="s">
        <v>174</v>
      </c>
      <c r="B260" s="104" t="s">
        <v>143</v>
      </c>
      <c r="C260" s="40" t="s">
        <v>329</v>
      </c>
      <c r="D260" s="40" t="s">
        <v>114</v>
      </c>
      <c r="E260" s="40" t="s">
        <v>52</v>
      </c>
      <c r="F260" s="40" t="s">
        <v>175</v>
      </c>
      <c r="G260" s="319" t="e">
        <f t="shared" si="17"/>
        <v>#DIV/0!</v>
      </c>
      <c r="H260" s="318">
        <f>H261</f>
        <v>0</v>
      </c>
      <c r="I260" s="329" t="e">
        <f t="shared" si="15"/>
        <v>#DIV/0!</v>
      </c>
    </row>
    <row r="261" spans="1:9" ht="15" hidden="1">
      <c r="A261" s="103" t="s">
        <v>176</v>
      </c>
      <c r="B261" s="104">
        <v>951</v>
      </c>
      <c r="C261" s="40" t="s">
        <v>329</v>
      </c>
      <c r="D261" s="40" t="s">
        <v>114</v>
      </c>
      <c r="E261" s="40" t="s">
        <v>56</v>
      </c>
      <c r="F261" s="40" t="s">
        <v>240</v>
      </c>
      <c r="G261" s="319" t="e">
        <f t="shared" si="17"/>
        <v>#DIV/0!</v>
      </c>
      <c r="H261" s="318"/>
      <c r="I261" s="329" t="e">
        <f t="shared" si="15"/>
        <v>#DIV/0!</v>
      </c>
    </row>
    <row r="262" spans="1:9" ht="60" hidden="1">
      <c r="A262" s="75" t="s">
        <v>415</v>
      </c>
      <c r="B262" s="104" t="s">
        <v>143</v>
      </c>
      <c r="C262" s="40" t="s">
        <v>329</v>
      </c>
      <c r="D262" s="40" t="s">
        <v>329</v>
      </c>
      <c r="E262" s="40" t="s">
        <v>405</v>
      </c>
      <c r="F262" s="40" t="s">
        <v>347</v>
      </c>
      <c r="G262" s="319">
        <f t="shared" si="17"/>
        <v>0</v>
      </c>
      <c r="H262" s="318">
        <f>H263</f>
        <v>0</v>
      </c>
      <c r="I262" s="329" t="e">
        <f t="shared" si="15"/>
        <v>#DIV/0!</v>
      </c>
    </row>
    <row r="263" spans="1:9" ht="30" hidden="1">
      <c r="A263" s="29" t="s">
        <v>151</v>
      </c>
      <c r="B263" s="104" t="s">
        <v>143</v>
      </c>
      <c r="C263" s="40" t="s">
        <v>329</v>
      </c>
      <c r="D263" s="40" t="s">
        <v>329</v>
      </c>
      <c r="E263" s="40" t="s">
        <v>406</v>
      </c>
      <c r="F263" s="40" t="s">
        <v>121</v>
      </c>
      <c r="G263" s="319">
        <f t="shared" si="17"/>
        <v>0</v>
      </c>
      <c r="H263" s="318">
        <f>H264</f>
        <v>0</v>
      </c>
      <c r="I263" s="329" t="e">
        <f t="shared" si="15"/>
        <v>#DIV/0!</v>
      </c>
    </row>
    <row r="264" spans="1:9" ht="45" hidden="1">
      <c r="A264" s="103" t="s">
        <v>152</v>
      </c>
      <c r="B264" s="104" t="s">
        <v>143</v>
      </c>
      <c r="C264" s="40" t="s">
        <v>329</v>
      </c>
      <c r="D264" s="40" t="s">
        <v>329</v>
      </c>
      <c r="E264" s="40" t="s">
        <v>406</v>
      </c>
      <c r="F264" s="40" t="s">
        <v>153</v>
      </c>
      <c r="G264" s="319">
        <f t="shared" si="17"/>
        <v>0</v>
      </c>
      <c r="H264" s="318">
        <v>0</v>
      </c>
      <c r="I264" s="329" t="e">
        <f t="shared" si="15"/>
        <v>#DIV/0!</v>
      </c>
    </row>
    <row r="265" spans="1:9" ht="18.75" customHeight="1">
      <c r="A265" s="51" t="s">
        <v>522</v>
      </c>
      <c r="B265" s="97" t="s">
        <v>143</v>
      </c>
      <c r="C265" s="80" t="s">
        <v>329</v>
      </c>
      <c r="D265" s="80" t="s">
        <v>119</v>
      </c>
      <c r="E265" s="80" t="s">
        <v>262</v>
      </c>
      <c r="F265" s="80" t="s">
        <v>347</v>
      </c>
      <c r="G265" s="316">
        <f>G266+G278</f>
        <v>16754.01333</v>
      </c>
      <c r="H265" s="316">
        <f>H266+H278</f>
        <v>15652.487909999998</v>
      </c>
      <c r="I265" s="329">
        <f t="shared" si="15"/>
        <v>93.42530414472337</v>
      </c>
    </row>
    <row r="266" spans="1:9" ht="45">
      <c r="A266" s="94" t="s">
        <v>407</v>
      </c>
      <c r="B266" s="97" t="s">
        <v>143</v>
      </c>
      <c r="C266" s="80" t="s">
        <v>329</v>
      </c>
      <c r="D266" s="80" t="s">
        <v>119</v>
      </c>
      <c r="E266" s="80" t="s">
        <v>262</v>
      </c>
      <c r="F266" s="80" t="s">
        <v>347</v>
      </c>
      <c r="G266" s="316">
        <f>G267</f>
        <v>15920.68</v>
      </c>
      <c r="H266" s="316">
        <f>H267</f>
        <v>14819.154579999999</v>
      </c>
      <c r="I266" s="329">
        <f t="shared" si="15"/>
        <v>93.08116600547211</v>
      </c>
    </row>
    <row r="267" spans="1:9" ht="30">
      <c r="A267" s="357" t="s">
        <v>241</v>
      </c>
      <c r="B267" s="104" t="s">
        <v>143</v>
      </c>
      <c r="C267" s="40" t="s">
        <v>329</v>
      </c>
      <c r="D267" s="40" t="s">
        <v>119</v>
      </c>
      <c r="E267" s="40" t="s">
        <v>51</v>
      </c>
      <c r="F267" s="40" t="s">
        <v>347</v>
      </c>
      <c r="G267" s="312">
        <f>G268+G271</f>
        <v>15920.68</v>
      </c>
      <c r="H267" s="312">
        <f>H268+H271</f>
        <v>14819.154579999999</v>
      </c>
      <c r="I267" s="329">
        <f t="shared" si="15"/>
        <v>93.08116600547211</v>
      </c>
    </row>
    <row r="268" spans="1:9" ht="30">
      <c r="A268" s="103" t="s">
        <v>177</v>
      </c>
      <c r="B268" s="104" t="s">
        <v>143</v>
      </c>
      <c r="C268" s="40" t="s">
        <v>329</v>
      </c>
      <c r="D268" s="40" t="s">
        <v>119</v>
      </c>
      <c r="E268" s="40" t="s">
        <v>52</v>
      </c>
      <c r="F268" s="40" t="s">
        <v>347</v>
      </c>
      <c r="G268" s="312">
        <f>G269</f>
        <v>9978.78</v>
      </c>
      <c r="H268" s="312">
        <f>H269</f>
        <v>9279.78488</v>
      </c>
      <c r="I268" s="329">
        <f t="shared" si="15"/>
        <v>92.99518458168231</v>
      </c>
    </row>
    <row r="269" spans="1:9" ht="45">
      <c r="A269" s="103" t="s">
        <v>174</v>
      </c>
      <c r="B269" s="104" t="s">
        <v>143</v>
      </c>
      <c r="C269" s="40" t="s">
        <v>329</v>
      </c>
      <c r="D269" s="40" t="s">
        <v>119</v>
      </c>
      <c r="E269" s="40" t="s">
        <v>52</v>
      </c>
      <c r="F269" s="40" t="s">
        <v>175</v>
      </c>
      <c r="G269" s="312">
        <f>G270</f>
        <v>9978.78</v>
      </c>
      <c r="H269" s="312">
        <f>H270</f>
        <v>9279.78488</v>
      </c>
      <c r="I269" s="329">
        <f t="shared" si="15"/>
        <v>92.99518458168231</v>
      </c>
    </row>
    <row r="270" spans="1:9" ht="15">
      <c r="A270" s="103" t="s">
        <v>176</v>
      </c>
      <c r="B270" s="104" t="s">
        <v>143</v>
      </c>
      <c r="C270" s="40" t="s">
        <v>329</v>
      </c>
      <c r="D270" s="40" t="s">
        <v>119</v>
      </c>
      <c r="E270" s="40" t="s">
        <v>55</v>
      </c>
      <c r="F270" s="40" t="s">
        <v>240</v>
      </c>
      <c r="G270" s="312">
        <v>9978.78</v>
      </c>
      <c r="H270" s="107">
        <v>9279.78488</v>
      </c>
      <c r="I270" s="329">
        <f t="shared" si="15"/>
        <v>92.99518458168231</v>
      </c>
    </row>
    <row r="271" spans="1:9" ht="30">
      <c r="A271" s="103" t="s">
        <v>178</v>
      </c>
      <c r="B271" s="104" t="s">
        <v>143</v>
      </c>
      <c r="C271" s="40" t="s">
        <v>329</v>
      </c>
      <c r="D271" s="40" t="s">
        <v>119</v>
      </c>
      <c r="E271" s="40" t="s">
        <v>52</v>
      </c>
      <c r="F271" s="40" t="s">
        <v>347</v>
      </c>
      <c r="G271" s="312">
        <f>G272</f>
        <v>5941.9</v>
      </c>
      <c r="H271" s="312">
        <f>H272</f>
        <v>5539.3697</v>
      </c>
      <c r="I271" s="329">
        <f t="shared" si="15"/>
        <v>93.22556253050372</v>
      </c>
    </row>
    <row r="272" spans="1:9" ht="45">
      <c r="A272" s="103" t="s">
        <v>174</v>
      </c>
      <c r="B272" s="104" t="s">
        <v>143</v>
      </c>
      <c r="C272" s="40" t="s">
        <v>329</v>
      </c>
      <c r="D272" s="40" t="s">
        <v>119</v>
      </c>
      <c r="E272" s="40" t="s">
        <v>52</v>
      </c>
      <c r="F272" s="40" t="s">
        <v>175</v>
      </c>
      <c r="G272" s="312">
        <f>G273</f>
        <v>5941.9</v>
      </c>
      <c r="H272" s="312">
        <f>H273</f>
        <v>5539.3697</v>
      </c>
      <c r="I272" s="329">
        <f t="shared" si="15"/>
        <v>93.22556253050372</v>
      </c>
    </row>
    <row r="273" spans="1:9" ht="15">
      <c r="A273" s="103" t="s">
        <v>176</v>
      </c>
      <c r="B273" s="104" t="s">
        <v>143</v>
      </c>
      <c r="C273" s="40" t="s">
        <v>329</v>
      </c>
      <c r="D273" s="40" t="s">
        <v>119</v>
      </c>
      <c r="E273" s="40" t="s">
        <v>56</v>
      </c>
      <c r="F273" s="40" t="s">
        <v>240</v>
      </c>
      <c r="G273" s="312">
        <v>5941.9</v>
      </c>
      <c r="H273" s="107">
        <v>5539.3697</v>
      </c>
      <c r="I273" s="329">
        <f t="shared" si="15"/>
        <v>93.22556253050372</v>
      </c>
    </row>
    <row r="274" spans="1:9" ht="30" hidden="1">
      <c r="A274" s="358" t="s">
        <v>518</v>
      </c>
      <c r="B274" s="104" t="s">
        <v>143</v>
      </c>
      <c r="C274" s="40" t="s">
        <v>329</v>
      </c>
      <c r="D274" s="40" t="s">
        <v>119</v>
      </c>
      <c r="E274" s="108" t="s">
        <v>262</v>
      </c>
      <c r="F274" s="108" t="s">
        <v>347</v>
      </c>
      <c r="G274" s="312">
        <f t="shared" si="17"/>
        <v>0</v>
      </c>
      <c r="H274" s="109">
        <f>H275</f>
        <v>0</v>
      </c>
      <c r="I274" s="329" t="e">
        <f t="shared" si="15"/>
        <v>#DIV/0!</v>
      </c>
    </row>
    <row r="275" spans="1:9" ht="30" hidden="1">
      <c r="A275" s="103" t="s">
        <v>521</v>
      </c>
      <c r="B275" s="104" t="s">
        <v>143</v>
      </c>
      <c r="C275" s="40" t="s">
        <v>329</v>
      </c>
      <c r="D275" s="40" t="s">
        <v>119</v>
      </c>
      <c r="E275" s="54" t="s">
        <v>262</v>
      </c>
      <c r="F275" s="54" t="s">
        <v>347</v>
      </c>
      <c r="G275" s="312" t="e">
        <f t="shared" si="17"/>
        <v>#DIV/0!</v>
      </c>
      <c r="H275" s="107">
        <f>H276</f>
        <v>0</v>
      </c>
      <c r="I275" s="329" t="e">
        <f t="shared" si="15"/>
        <v>#DIV/0!</v>
      </c>
    </row>
    <row r="276" spans="1:9" ht="45" hidden="1">
      <c r="A276" s="103" t="s">
        <v>174</v>
      </c>
      <c r="B276" s="104" t="s">
        <v>143</v>
      </c>
      <c r="C276" s="40" t="s">
        <v>329</v>
      </c>
      <c r="D276" s="40" t="s">
        <v>119</v>
      </c>
      <c r="E276" s="54" t="s">
        <v>520</v>
      </c>
      <c r="F276" s="54" t="s">
        <v>175</v>
      </c>
      <c r="G276" s="312" t="e">
        <f t="shared" si="17"/>
        <v>#DIV/0!</v>
      </c>
      <c r="H276" s="107">
        <f>H277</f>
        <v>0</v>
      </c>
      <c r="I276" s="329" t="e">
        <f t="shared" si="15"/>
        <v>#DIV/0!</v>
      </c>
    </row>
    <row r="277" spans="1:9" ht="15" hidden="1">
      <c r="A277" s="103" t="s">
        <v>176</v>
      </c>
      <c r="B277" s="104" t="s">
        <v>143</v>
      </c>
      <c r="C277" s="40" t="s">
        <v>329</v>
      </c>
      <c r="D277" s="40" t="s">
        <v>119</v>
      </c>
      <c r="E277" s="54" t="s">
        <v>520</v>
      </c>
      <c r="F277" s="54" t="s">
        <v>240</v>
      </c>
      <c r="G277" s="312" t="e">
        <f t="shared" si="17"/>
        <v>#DIV/0!</v>
      </c>
      <c r="H277" s="107"/>
      <c r="I277" s="329" t="e">
        <f t="shared" si="15"/>
        <v>#DIV/0!</v>
      </c>
    </row>
    <row r="278" spans="1:9" ht="60">
      <c r="A278" s="99" t="s">
        <v>414</v>
      </c>
      <c r="B278" s="96" t="s">
        <v>143</v>
      </c>
      <c r="C278" s="92" t="s">
        <v>329</v>
      </c>
      <c r="D278" s="92" t="s">
        <v>119</v>
      </c>
      <c r="E278" s="108" t="s">
        <v>262</v>
      </c>
      <c r="F278" s="108" t="s">
        <v>347</v>
      </c>
      <c r="G278" s="313">
        <f>G279</f>
        <v>833.33333</v>
      </c>
      <c r="H278" s="313">
        <f>H279</f>
        <v>833.33333</v>
      </c>
      <c r="I278" s="328">
        <f t="shared" si="15"/>
        <v>100</v>
      </c>
    </row>
    <row r="279" spans="1:9" ht="84.75" customHeight="1">
      <c r="A279" s="75" t="s">
        <v>626</v>
      </c>
      <c r="B279" s="97" t="s">
        <v>143</v>
      </c>
      <c r="C279" s="80" t="s">
        <v>329</v>
      </c>
      <c r="D279" s="80" t="s">
        <v>119</v>
      </c>
      <c r="E279" s="80" t="s">
        <v>262</v>
      </c>
      <c r="F279" s="80" t="s">
        <v>347</v>
      </c>
      <c r="G279" s="316">
        <f>G280+G282</f>
        <v>833.33333</v>
      </c>
      <c r="H279" s="316">
        <f>H280+H282</f>
        <v>833.33333</v>
      </c>
      <c r="I279" s="329">
        <f t="shared" si="15"/>
        <v>100</v>
      </c>
    </row>
    <row r="280" spans="1:9" ht="90">
      <c r="A280" s="29" t="s">
        <v>673</v>
      </c>
      <c r="B280" s="32" t="s">
        <v>143</v>
      </c>
      <c r="C280" s="54" t="s">
        <v>329</v>
      </c>
      <c r="D280" s="54" t="s">
        <v>119</v>
      </c>
      <c r="E280" s="54" t="s">
        <v>628</v>
      </c>
      <c r="F280" s="54" t="s">
        <v>175</v>
      </c>
      <c r="G280" s="312">
        <f>G281</f>
        <v>825</v>
      </c>
      <c r="H280" s="107">
        <f>H281</f>
        <v>825</v>
      </c>
      <c r="I280" s="329">
        <f t="shared" si="15"/>
        <v>100</v>
      </c>
    </row>
    <row r="281" spans="1:9" ht="15">
      <c r="A281" s="29" t="s">
        <v>176</v>
      </c>
      <c r="B281" s="32" t="s">
        <v>143</v>
      </c>
      <c r="C281" s="54" t="s">
        <v>329</v>
      </c>
      <c r="D281" s="54" t="s">
        <v>119</v>
      </c>
      <c r="E281" s="54" t="s">
        <v>628</v>
      </c>
      <c r="F281" s="54" t="s">
        <v>240</v>
      </c>
      <c r="G281" s="312">
        <v>825</v>
      </c>
      <c r="H281" s="107">
        <v>825</v>
      </c>
      <c r="I281" s="329">
        <f t="shared" si="15"/>
        <v>100</v>
      </c>
    </row>
    <row r="282" spans="1:9" ht="120">
      <c r="A282" s="29" t="s">
        <v>674</v>
      </c>
      <c r="B282" s="32" t="s">
        <v>143</v>
      </c>
      <c r="C282" s="54" t="s">
        <v>329</v>
      </c>
      <c r="D282" s="54" t="s">
        <v>119</v>
      </c>
      <c r="E282" s="54" t="s">
        <v>630</v>
      </c>
      <c r="F282" s="54" t="s">
        <v>175</v>
      </c>
      <c r="G282" s="312">
        <f>G283</f>
        <v>8.33333</v>
      </c>
      <c r="H282" s="107">
        <f>H283</f>
        <v>8.33333</v>
      </c>
      <c r="I282" s="329">
        <f t="shared" si="15"/>
        <v>100</v>
      </c>
    </row>
    <row r="283" spans="1:9" ht="15">
      <c r="A283" s="29" t="s">
        <v>176</v>
      </c>
      <c r="B283" s="32" t="s">
        <v>143</v>
      </c>
      <c r="C283" s="54" t="s">
        <v>329</v>
      </c>
      <c r="D283" s="54" t="s">
        <v>119</v>
      </c>
      <c r="E283" s="54" t="s">
        <v>630</v>
      </c>
      <c r="F283" s="54" t="s">
        <v>240</v>
      </c>
      <c r="G283" s="312">
        <v>8.33333</v>
      </c>
      <c r="H283" s="312">
        <v>8.33333</v>
      </c>
      <c r="I283" s="329">
        <f t="shared" si="15"/>
        <v>100</v>
      </c>
    </row>
    <row r="284" spans="1:9" ht="15" hidden="1">
      <c r="A284" s="29"/>
      <c r="B284" s="32"/>
      <c r="C284" s="54"/>
      <c r="D284" s="54"/>
      <c r="E284" s="54"/>
      <c r="F284" s="54"/>
      <c r="G284" s="312"/>
      <c r="H284" s="107"/>
      <c r="I284" s="329" t="e">
        <f t="shared" si="15"/>
        <v>#DIV/0!</v>
      </c>
    </row>
    <row r="285" spans="1:9" ht="45">
      <c r="A285" s="359" t="s">
        <v>407</v>
      </c>
      <c r="B285" s="347">
        <v>951</v>
      </c>
      <c r="C285" s="108" t="s">
        <v>329</v>
      </c>
      <c r="D285" s="108" t="s">
        <v>314</v>
      </c>
      <c r="E285" s="108" t="s">
        <v>25</v>
      </c>
      <c r="F285" s="108" t="s">
        <v>347</v>
      </c>
      <c r="G285" s="109">
        <f aca="true" t="shared" si="18" ref="G285:H287">G286</f>
        <v>111</v>
      </c>
      <c r="H285" s="109">
        <f t="shared" si="18"/>
        <v>111</v>
      </c>
      <c r="I285" s="329">
        <f t="shared" si="15"/>
        <v>100</v>
      </c>
    </row>
    <row r="286" spans="1:9" ht="30">
      <c r="A286" s="360" t="s">
        <v>397</v>
      </c>
      <c r="B286" s="104">
        <v>951</v>
      </c>
      <c r="C286" s="40" t="s">
        <v>329</v>
      </c>
      <c r="D286" s="40" t="s">
        <v>314</v>
      </c>
      <c r="E286" s="40" t="s">
        <v>26</v>
      </c>
      <c r="F286" s="40" t="s">
        <v>347</v>
      </c>
      <c r="G286" s="318">
        <f t="shared" si="18"/>
        <v>111</v>
      </c>
      <c r="H286" s="318">
        <f t="shared" si="18"/>
        <v>111</v>
      </c>
      <c r="I286" s="329">
        <f t="shared" si="15"/>
        <v>100</v>
      </c>
    </row>
    <row r="287" spans="1:9" ht="30">
      <c r="A287" s="103" t="s">
        <v>151</v>
      </c>
      <c r="B287" s="104">
        <v>951</v>
      </c>
      <c r="C287" s="40" t="s">
        <v>329</v>
      </c>
      <c r="D287" s="40" t="s">
        <v>314</v>
      </c>
      <c r="E287" s="40" t="s">
        <v>28</v>
      </c>
      <c r="F287" s="40" t="s">
        <v>121</v>
      </c>
      <c r="G287" s="318">
        <f t="shared" si="18"/>
        <v>111</v>
      </c>
      <c r="H287" s="318">
        <f t="shared" si="18"/>
        <v>111</v>
      </c>
      <c r="I287" s="329">
        <f t="shared" si="15"/>
        <v>100</v>
      </c>
    </row>
    <row r="288" spans="1:9" ht="45">
      <c r="A288" s="105" t="s">
        <v>152</v>
      </c>
      <c r="B288" s="104">
        <v>951</v>
      </c>
      <c r="C288" s="40" t="s">
        <v>329</v>
      </c>
      <c r="D288" s="40" t="s">
        <v>314</v>
      </c>
      <c r="E288" s="40" t="s">
        <v>29</v>
      </c>
      <c r="F288" s="40" t="s">
        <v>153</v>
      </c>
      <c r="G288" s="318">
        <v>111</v>
      </c>
      <c r="H288" s="318">
        <v>111</v>
      </c>
      <c r="I288" s="329">
        <f t="shared" si="15"/>
        <v>100</v>
      </c>
    </row>
    <row r="289" spans="1:9" ht="60" hidden="1">
      <c r="A289" s="75" t="s">
        <v>237</v>
      </c>
      <c r="B289" s="104">
        <v>951</v>
      </c>
      <c r="C289" s="40" t="s">
        <v>329</v>
      </c>
      <c r="D289" s="40" t="s">
        <v>314</v>
      </c>
      <c r="E289" s="80" t="s">
        <v>35</v>
      </c>
      <c r="F289" s="40" t="s">
        <v>347</v>
      </c>
      <c r="G289" s="318">
        <f>H289+I289</f>
        <v>0</v>
      </c>
      <c r="H289" s="318">
        <f>H290</f>
        <v>0</v>
      </c>
      <c r="I289" s="329" t="e">
        <f t="shared" si="15"/>
        <v>#DIV/0!</v>
      </c>
    </row>
    <row r="290" spans="1:9" ht="30" hidden="1">
      <c r="A290" s="103" t="s">
        <v>151</v>
      </c>
      <c r="B290" s="104">
        <v>951</v>
      </c>
      <c r="C290" s="40" t="s">
        <v>329</v>
      </c>
      <c r="D290" s="40" t="s">
        <v>314</v>
      </c>
      <c r="E290" s="54" t="s">
        <v>455</v>
      </c>
      <c r="F290" s="40" t="s">
        <v>121</v>
      </c>
      <c r="G290" s="318">
        <f>H290+I290</f>
        <v>0</v>
      </c>
      <c r="H290" s="318">
        <f>H291</f>
        <v>0</v>
      </c>
      <c r="I290" s="329" t="e">
        <f t="shared" si="15"/>
        <v>#DIV/0!</v>
      </c>
    </row>
    <row r="291" spans="1:9" ht="45" hidden="1">
      <c r="A291" s="105" t="s">
        <v>152</v>
      </c>
      <c r="B291" s="104">
        <v>951</v>
      </c>
      <c r="C291" s="40" t="s">
        <v>329</v>
      </c>
      <c r="D291" s="40" t="s">
        <v>314</v>
      </c>
      <c r="E291" s="54" t="s">
        <v>455</v>
      </c>
      <c r="F291" s="40" t="s">
        <v>153</v>
      </c>
      <c r="G291" s="318">
        <f>H291+I291</f>
        <v>0</v>
      </c>
      <c r="H291" s="318">
        <v>0</v>
      </c>
      <c r="I291" s="329" t="e">
        <f t="shared" si="15"/>
        <v>#DIV/0!</v>
      </c>
    </row>
    <row r="292" spans="1:9" ht="30">
      <c r="A292" s="356" t="s">
        <v>115</v>
      </c>
      <c r="B292" s="104">
        <v>951</v>
      </c>
      <c r="C292" s="40" t="s">
        <v>329</v>
      </c>
      <c r="D292" s="40" t="s">
        <v>314</v>
      </c>
      <c r="E292" s="40" t="s">
        <v>7</v>
      </c>
      <c r="F292" s="40" t="s">
        <v>347</v>
      </c>
      <c r="G292" s="318">
        <f>G293</f>
        <v>4572.898</v>
      </c>
      <c r="H292" s="318">
        <f>H293</f>
        <v>4283.40239</v>
      </c>
      <c r="I292" s="329">
        <f t="shared" si="15"/>
        <v>93.66931844970082</v>
      </c>
    </row>
    <row r="293" spans="1:9" ht="42.75" customHeight="1">
      <c r="A293" s="103" t="s">
        <v>116</v>
      </c>
      <c r="B293" s="104">
        <v>951</v>
      </c>
      <c r="C293" s="40" t="s">
        <v>329</v>
      </c>
      <c r="D293" s="40" t="s">
        <v>314</v>
      </c>
      <c r="E293" s="40" t="s">
        <v>8</v>
      </c>
      <c r="F293" s="40" t="s">
        <v>347</v>
      </c>
      <c r="G293" s="318">
        <f>G294+G299</f>
        <v>4572.898</v>
      </c>
      <c r="H293" s="318">
        <f>H294+H299</f>
        <v>4283.40239</v>
      </c>
      <c r="I293" s="329">
        <f t="shared" si="15"/>
        <v>93.66931844970082</v>
      </c>
    </row>
    <row r="294" spans="1:9" ht="45">
      <c r="A294" s="103" t="s">
        <v>120</v>
      </c>
      <c r="B294" s="104">
        <v>951</v>
      </c>
      <c r="C294" s="40" t="s">
        <v>329</v>
      </c>
      <c r="D294" s="40" t="s">
        <v>314</v>
      </c>
      <c r="E294" s="40" t="s">
        <v>11</v>
      </c>
      <c r="F294" s="40" t="s">
        <v>347</v>
      </c>
      <c r="G294" s="318">
        <f>G295+G297</f>
        <v>2753.58</v>
      </c>
      <c r="H294" s="318">
        <f>H295+H297</f>
        <v>2464.08439</v>
      </c>
      <c r="I294" s="329">
        <f aca="true" t="shared" si="19" ref="I294:I357">H294/G294*100</f>
        <v>89.4865734788893</v>
      </c>
    </row>
    <row r="295" spans="1:9" ht="81.75" customHeight="1">
      <c r="A295" s="103" t="s">
        <v>148</v>
      </c>
      <c r="B295" s="104">
        <v>951</v>
      </c>
      <c r="C295" s="40" t="s">
        <v>329</v>
      </c>
      <c r="D295" s="40" t="s">
        <v>314</v>
      </c>
      <c r="E295" s="40" t="s">
        <v>11</v>
      </c>
      <c r="F295" s="40" t="s">
        <v>117</v>
      </c>
      <c r="G295" s="318">
        <f>G296</f>
        <v>2545.58</v>
      </c>
      <c r="H295" s="318">
        <f>H296</f>
        <v>2289.40866</v>
      </c>
      <c r="I295" s="329">
        <f t="shared" si="19"/>
        <v>89.93662190934876</v>
      </c>
    </row>
    <row r="296" spans="1:9" ht="30">
      <c r="A296" s="103" t="s">
        <v>150</v>
      </c>
      <c r="B296" s="104">
        <v>951</v>
      </c>
      <c r="C296" s="40" t="s">
        <v>329</v>
      </c>
      <c r="D296" s="40" t="s">
        <v>314</v>
      </c>
      <c r="E296" s="40" t="s">
        <v>11</v>
      </c>
      <c r="F296" s="40" t="s">
        <v>149</v>
      </c>
      <c r="G296" s="318">
        <v>2545.58</v>
      </c>
      <c r="H296" s="318">
        <v>2289.40866</v>
      </c>
      <c r="I296" s="329">
        <f t="shared" si="19"/>
        <v>89.93662190934876</v>
      </c>
    </row>
    <row r="297" spans="1:9" ht="30">
      <c r="A297" s="103" t="s">
        <v>151</v>
      </c>
      <c r="B297" s="104">
        <v>951</v>
      </c>
      <c r="C297" s="40" t="s">
        <v>329</v>
      </c>
      <c r="D297" s="40" t="s">
        <v>314</v>
      </c>
      <c r="E297" s="40" t="s">
        <v>11</v>
      </c>
      <c r="F297" s="40" t="s">
        <v>121</v>
      </c>
      <c r="G297" s="318">
        <f>G298</f>
        <v>208</v>
      </c>
      <c r="H297" s="318">
        <f>H298</f>
        <v>174.67573</v>
      </c>
      <c r="I297" s="329">
        <f t="shared" si="19"/>
        <v>83.97871634615383</v>
      </c>
    </row>
    <row r="298" spans="1:9" ht="45">
      <c r="A298" s="105" t="s">
        <v>152</v>
      </c>
      <c r="B298" s="104">
        <v>951</v>
      </c>
      <c r="C298" s="40" t="s">
        <v>329</v>
      </c>
      <c r="D298" s="40" t="s">
        <v>314</v>
      </c>
      <c r="E298" s="40" t="s">
        <v>11</v>
      </c>
      <c r="F298" s="40" t="s">
        <v>153</v>
      </c>
      <c r="G298" s="318">
        <v>208</v>
      </c>
      <c r="H298" s="318">
        <v>174.67573</v>
      </c>
      <c r="I298" s="329">
        <f t="shared" si="19"/>
        <v>83.97871634615383</v>
      </c>
    </row>
    <row r="299" spans="1:9" ht="70.5" customHeight="1">
      <c r="A299" s="29" t="s">
        <v>573</v>
      </c>
      <c r="B299" s="32">
        <v>951</v>
      </c>
      <c r="C299" s="54" t="s">
        <v>329</v>
      </c>
      <c r="D299" s="54" t="s">
        <v>314</v>
      </c>
      <c r="E299" s="54" t="s">
        <v>640</v>
      </c>
      <c r="F299" s="54" t="s">
        <v>347</v>
      </c>
      <c r="G299" s="107">
        <f>G300+G302</f>
        <v>1819.318</v>
      </c>
      <c r="H299" s="107">
        <f>H300+H302</f>
        <v>1819.318</v>
      </c>
      <c r="I299" s="329">
        <f t="shared" si="19"/>
        <v>100</v>
      </c>
    </row>
    <row r="300" spans="1:9" ht="90.75" customHeight="1">
      <c r="A300" s="29" t="s">
        <v>148</v>
      </c>
      <c r="B300" s="32">
        <v>951</v>
      </c>
      <c r="C300" s="54" t="s">
        <v>329</v>
      </c>
      <c r="D300" s="54" t="s">
        <v>314</v>
      </c>
      <c r="E300" s="54" t="s">
        <v>640</v>
      </c>
      <c r="F300" s="54" t="s">
        <v>117</v>
      </c>
      <c r="G300" s="107">
        <f>G301</f>
        <v>1201.77479</v>
      </c>
      <c r="H300" s="107">
        <f>H301</f>
        <v>1201.77479</v>
      </c>
      <c r="I300" s="329">
        <f t="shared" si="19"/>
        <v>100</v>
      </c>
    </row>
    <row r="301" spans="1:9" ht="30">
      <c r="A301" s="61" t="s">
        <v>150</v>
      </c>
      <c r="B301" s="32">
        <v>951</v>
      </c>
      <c r="C301" s="54" t="s">
        <v>329</v>
      </c>
      <c r="D301" s="54" t="s">
        <v>314</v>
      </c>
      <c r="E301" s="54" t="s">
        <v>640</v>
      </c>
      <c r="F301" s="54" t="s">
        <v>149</v>
      </c>
      <c r="G301" s="107">
        <v>1201.77479</v>
      </c>
      <c r="H301" s="107">
        <v>1201.77479</v>
      </c>
      <c r="I301" s="329">
        <f t="shared" si="19"/>
        <v>100</v>
      </c>
    </row>
    <row r="302" spans="1:9" ht="30">
      <c r="A302" s="29" t="s">
        <v>151</v>
      </c>
      <c r="B302" s="32">
        <v>951</v>
      </c>
      <c r="C302" s="54" t="s">
        <v>329</v>
      </c>
      <c r="D302" s="54" t="s">
        <v>314</v>
      </c>
      <c r="E302" s="54" t="s">
        <v>640</v>
      </c>
      <c r="F302" s="54" t="s">
        <v>121</v>
      </c>
      <c r="G302" s="107">
        <f>G303</f>
        <v>617.54321</v>
      </c>
      <c r="H302" s="107">
        <f>H303</f>
        <v>617.54321</v>
      </c>
      <c r="I302" s="329">
        <f t="shared" si="19"/>
        <v>100</v>
      </c>
    </row>
    <row r="303" spans="1:9" ht="45">
      <c r="A303" s="61" t="s">
        <v>152</v>
      </c>
      <c r="B303" s="32">
        <v>951</v>
      </c>
      <c r="C303" s="54" t="s">
        <v>329</v>
      </c>
      <c r="D303" s="54" t="s">
        <v>314</v>
      </c>
      <c r="E303" s="54" t="s">
        <v>640</v>
      </c>
      <c r="F303" s="54" t="s">
        <v>153</v>
      </c>
      <c r="G303" s="107">
        <v>617.54321</v>
      </c>
      <c r="H303" s="107">
        <v>617.54321</v>
      </c>
      <c r="I303" s="329">
        <f t="shared" si="19"/>
        <v>100</v>
      </c>
    </row>
    <row r="304" spans="1:12" ht="15">
      <c r="A304" s="355" t="s">
        <v>147</v>
      </c>
      <c r="B304" s="354">
        <v>951</v>
      </c>
      <c r="C304" s="302" t="s">
        <v>317</v>
      </c>
      <c r="D304" s="302" t="s">
        <v>113</v>
      </c>
      <c r="E304" s="302" t="s">
        <v>262</v>
      </c>
      <c r="F304" s="302" t="s">
        <v>347</v>
      </c>
      <c r="G304" s="337">
        <f>G305+G336</f>
        <v>16272.401259999999</v>
      </c>
      <c r="H304" s="337">
        <f>H305+H336</f>
        <v>16268.787380000002</v>
      </c>
      <c r="I304" s="336">
        <f t="shared" si="19"/>
        <v>99.97779135394799</v>
      </c>
      <c r="K304" s="53">
        <v>16268.78738</v>
      </c>
      <c r="L304" s="343">
        <f>K304-H304</f>
        <v>0</v>
      </c>
    </row>
    <row r="305" spans="1:9" ht="17.25" customHeight="1">
      <c r="A305" s="345" t="s">
        <v>382</v>
      </c>
      <c r="B305" s="32">
        <v>951</v>
      </c>
      <c r="C305" s="54" t="s">
        <v>317</v>
      </c>
      <c r="D305" s="54" t="s">
        <v>112</v>
      </c>
      <c r="E305" s="54" t="s">
        <v>262</v>
      </c>
      <c r="F305" s="54" t="s">
        <v>347</v>
      </c>
      <c r="G305" s="107">
        <f>G306</f>
        <v>15057.301259999998</v>
      </c>
      <c r="H305" s="107">
        <f>H306+H333</f>
        <v>15054.153610000001</v>
      </c>
      <c r="I305" s="329">
        <f t="shared" si="19"/>
        <v>99.97909552352282</v>
      </c>
    </row>
    <row r="306" spans="1:9" ht="57.75" customHeight="1">
      <c r="A306" s="75" t="s">
        <v>414</v>
      </c>
      <c r="B306" s="97">
        <v>951</v>
      </c>
      <c r="C306" s="80" t="s">
        <v>317</v>
      </c>
      <c r="D306" s="80" t="s">
        <v>112</v>
      </c>
      <c r="E306" s="80" t="s">
        <v>91</v>
      </c>
      <c r="F306" s="80" t="s">
        <v>347</v>
      </c>
      <c r="G306" s="115">
        <f>G309+G311+G322+G323+G330</f>
        <v>15057.301259999998</v>
      </c>
      <c r="H306" s="115">
        <f>H309+H311+H322+H323+H330</f>
        <v>15054.153610000001</v>
      </c>
      <c r="I306" s="329">
        <f>H306/G306*100</f>
        <v>99.97909552352282</v>
      </c>
    </row>
    <row r="307" spans="1:9" ht="62.25" customHeight="1">
      <c r="A307" s="98" t="s">
        <v>458</v>
      </c>
      <c r="B307" s="32">
        <v>951</v>
      </c>
      <c r="C307" s="54" t="s">
        <v>317</v>
      </c>
      <c r="D307" s="54" t="s">
        <v>112</v>
      </c>
      <c r="E307" s="54" t="s">
        <v>71</v>
      </c>
      <c r="F307" s="54" t="s">
        <v>347</v>
      </c>
      <c r="G307" s="107">
        <f>G308+G310</f>
        <v>10628.74626</v>
      </c>
      <c r="H307" s="107">
        <f>H308+H310</f>
        <v>10626.05851</v>
      </c>
      <c r="I307" s="329">
        <f t="shared" si="19"/>
        <v>99.97471244552978</v>
      </c>
    </row>
    <row r="308" spans="1:9" ht="45">
      <c r="A308" s="29" t="s">
        <v>174</v>
      </c>
      <c r="B308" s="32">
        <v>951</v>
      </c>
      <c r="C308" s="54" t="s">
        <v>317</v>
      </c>
      <c r="D308" s="54" t="s">
        <v>112</v>
      </c>
      <c r="E308" s="54" t="s">
        <v>72</v>
      </c>
      <c r="F308" s="54" t="s">
        <v>175</v>
      </c>
      <c r="G308" s="107">
        <f>G309</f>
        <v>9237.91965</v>
      </c>
      <c r="H308" s="107">
        <f>H309</f>
        <v>9235.2319</v>
      </c>
      <c r="I308" s="329">
        <f t="shared" si="19"/>
        <v>99.97090524596629</v>
      </c>
    </row>
    <row r="309" spans="1:9" ht="15">
      <c r="A309" s="29" t="s">
        <v>176</v>
      </c>
      <c r="B309" s="32">
        <v>951</v>
      </c>
      <c r="C309" s="54" t="s">
        <v>317</v>
      </c>
      <c r="D309" s="54" t="s">
        <v>112</v>
      </c>
      <c r="E309" s="54" t="s">
        <v>73</v>
      </c>
      <c r="F309" s="54" t="s">
        <v>240</v>
      </c>
      <c r="G309" s="107">
        <v>9237.91965</v>
      </c>
      <c r="H309" s="107">
        <v>9235.2319</v>
      </c>
      <c r="I309" s="329">
        <f>H309/G309*100</f>
        <v>99.97090524596629</v>
      </c>
    </row>
    <row r="310" spans="1:9" ht="99" customHeight="1">
      <c r="A310" s="29" t="s">
        <v>89</v>
      </c>
      <c r="B310" s="32">
        <v>951</v>
      </c>
      <c r="C310" s="54" t="s">
        <v>317</v>
      </c>
      <c r="D310" s="54" t="s">
        <v>112</v>
      </c>
      <c r="E310" s="54" t="s">
        <v>88</v>
      </c>
      <c r="F310" s="54" t="s">
        <v>175</v>
      </c>
      <c r="G310" s="107">
        <f>G311</f>
        <v>1390.82661</v>
      </c>
      <c r="H310" s="107">
        <f>H311</f>
        <v>1390.82661</v>
      </c>
      <c r="I310" s="329">
        <f t="shared" si="19"/>
        <v>100</v>
      </c>
    </row>
    <row r="311" spans="1:9" ht="16.5" customHeight="1">
      <c r="A311" s="29" t="s">
        <v>176</v>
      </c>
      <c r="B311" s="32">
        <v>951</v>
      </c>
      <c r="C311" s="54" t="s">
        <v>317</v>
      </c>
      <c r="D311" s="54" t="s">
        <v>112</v>
      </c>
      <c r="E311" s="54" t="s">
        <v>88</v>
      </c>
      <c r="F311" s="54" t="s">
        <v>240</v>
      </c>
      <c r="G311" s="107">
        <v>1390.82661</v>
      </c>
      <c r="H311" s="107">
        <v>1390.82661</v>
      </c>
      <c r="I311" s="329">
        <f t="shared" si="19"/>
        <v>100</v>
      </c>
    </row>
    <row r="312" spans="1:9" ht="62.25" customHeight="1" hidden="1">
      <c r="A312" s="95" t="s">
        <v>492</v>
      </c>
      <c r="B312" s="32">
        <v>951</v>
      </c>
      <c r="C312" s="92" t="s">
        <v>317</v>
      </c>
      <c r="D312" s="92" t="s">
        <v>112</v>
      </c>
      <c r="E312" s="92" t="s">
        <v>71</v>
      </c>
      <c r="F312" s="92" t="s">
        <v>347</v>
      </c>
      <c r="G312" s="320" t="e">
        <f>H312+I312</f>
        <v>#DIV/0!</v>
      </c>
      <c r="H312" s="310">
        <f>H313+H316</f>
        <v>0</v>
      </c>
      <c r="I312" s="329" t="e">
        <f t="shared" si="19"/>
        <v>#DIV/0!</v>
      </c>
    </row>
    <row r="313" spans="1:9" ht="69" customHeight="1" hidden="1">
      <c r="A313" s="75" t="s">
        <v>545</v>
      </c>
      <c r="B313" s="32">
        <v>951</v>
      </c>
      <c r="C313" s="80" t="s">
        <v>317</v>
      </c>
      <c r="D313" s="80" t="s">
        <v>112</v>
      </c>
      <c r="E313" s="80" t="s">
        <v>502</v>
      </c>
      <c r="F313" s="80" t="s">
        <v>347</v>
      </c>
      <c r="G313" s="316" t="e">
        <f>H313+I313</f>
        <v>#DIV/0!</v>
      </c>
      <c r="H313" s="115">
        <f>H314</f>
        <v>0</v>
      </c>
      <c r="I313" s="329" t="e">
        <f t="shared" si="19"/>
        <v>#DIV/0!</v>
      </c>
    </row>
    <row r="314" spans="1:9" ht="48" customHeight="1" hidden="1">
      <c r="A314" s="29" t="s">
        <v>174</v>
      </c>
      <c r="B314" s="32">
        <v>951</v>
      </c>
      <c r="C314" s="54" t="s">
        <v>317</v>
      </c>
      <c r="D314" s="54" t="s">
        <v>112</v>
      </c>
      <c r="E314" s="54" t="s">
        <v>502</v>
      </c>
      <c r="F314" s="54" t="s">
        <v>175</v>
      </c>
      <c r="G314" s="312">
        <f>H314+I314</f>
        <v>0</v>
      </c>
      <c r="H314" s="107">
        <f>H315</f>
        <v>0</v>
      </c>
      <c r="I314" s="329" t="e">
        <f t="shared" si="19"/>
        <v>#DIV/0!</v>
      </c>
    </row>
    <row r="315" spans="1:9" ht="20.25" customHeight="1" hidden="1">
      <c r="A315" s="29" t="s">
        <v>176</v>
      </c>
      <c r="B315" s="32">
        <v>951</v>
      </c>
      <c r="C315" s="54" t="s">
        <v>317</v>
      </c>
      <c r="D315" s="54" t="s">
        <v>112</v>
      </c>
      <c r="E315" s="54" t="s">
        <v>502</v>
      </c>
      <c r="F315" s="54" t="s">
        <v>240</v>
      </c>
      <c r="G315" s="312">
        <f>H315+I315</f>
        <v>0</v>
      </c>
      <c r="H315" s="107"/>
      <c r="I315" s="329" t="e">
        <f t="shared" si="19"/>
        <v>#DIV/0!</v>
      </c>
    </row>
    <row r="316" spans="1:9" ht="101.25" customHeight="1" hidden="1">
      <c r="A316" s="75" t="s">
        <v>497</v>
      </c>
      <c r="B316" s="32">
        <v>951</v>
      </c>
      <c r="C316" s="80" t="s">
        <v>317</v>
      </c>
      <c r="D316" s="80" t="s">
        <v>112</v>
      </c>
      <c r="E316" s="80" t="s">
        <v>506</v>
      </c>
      <c r="F316" s="80" t="s">
        <v>347</v>
      </c>
      <c r="G316" s="316">
        <f>H316</f>
        <v>0</v>
      </c>
      <c r="H316" s="115">
        <f>H317</f>
        <v>0</v>
      </c>
      <c r="I316" s="329" t="e">
        <f t="shared" si="19"/>
        <v>#DIV/0!</v>
      </c>
    </row>
    <row r="317" spans="1:9" ht="48" customHeight="1" hidden="1">
      <c r="A317" s="29" t="s">
        <v>174</v>
      </c>
      <c r="B317" s="32">
        <v>951</v>
      </c>
      <c r="C317" s="54" t="s">
        <v>317</v>
      </c>
      <c r="D317" s="54" t="s">
        <v>112</v>
      </c>
      <c r="E317" s="54" t="s">
        <v>506</v>
      </c>
      <c r="F317" s="54" t="s">
        <v>175</v>
      </c>
      <c r="G317" s="312">
        <f>H317</f>
        <v>0</v>
      </c>
      <c r="H317" s="107">
        <f>H318</f>
        <v>0</v>
      </c>
      <c r="I317" s="329" t="e">
        <f t="shared" si="19"/>
        <v>#DIV/0!</v>
      </c>
    </row>
    <row r="318" spans="1:10" ht="15.75" customHeight="1" hidden="1">
      <c r="A318" s="29" t="s">
        <v>176</v>
      </c>
      <c r="B318" s="32">
        <v>951</v>
      </c>
      <c r="C318" s="54" t="s">
        <v>317</v>
      </c>
      <c r="D318" s="54" t="s">
        <v>112</v>
      </c>
      <c r="E318" s="54" t="s">
        <v>506</v>
      </c>
      <c r="F318" s="54" t="s">
        <v>240</v>
      </c>
      <c r="G318" s="312">
        <f>H318</f>
        <v>0</v>
      </c>
      <c r="H318" s="107"/>
      <c r="I318" s="329" t="e">
        <f t="shared" si="19"/>
        <v>#DIV/0!</v>
      </c>
      <c r="J318" s="53" t="s">
        <v>526</v>
      </c>
    </row>
    <row r="319" spans="1:9" ht="63" customHeight="1">
      <c r="A319" s="98" t="s">
        <v>459</v>
      </c>
      <c r="B319" s="32">
        <v>951</v>
      </c>
      <c r="C319" s="54" t="s">
        <v>317</v>
      </c>
      <c r="D319" s="54" t="s">
        <v>112</v>
      </c>
      <c r="E319" s="54" t="s">
        <v>74</v>
      </c>
      <c r="F319" s="54" t="s">
        <v>347</v>
      </c>
      <c r="G319" s="107">
        <f aca="true" t="shared" si="20" ref="G319:H321">G320</f>
        <v>2783.8</v>
      </c>
      <c r="H319" s="107">
        <f t="shared" si="20"/>
        <v>2783.3402</v>
      </c>
      <c r="I319" s="329">
        <f t="shared" si="19"/>
        <v>99.98348300883684</v>
      </c>
    </row>
    <row r="320" spans="1:9" ht="45">
      <c r="A320" s="29" t="s">
        <v>174</v>
      </c>
      <c r="B320" s="32">
        <v>951</v>
      </c>
      <c r="C320" s="54" t="s">
        <v>317</v>
      </c>
      <c r="D320" s="54" t="s">
        <v>112</v>
      </c>
      <c r="E320" s="54" t="s">
        <v>74</v>
      </c>
      <c r="F320" s="54" t="s">
        <v>347</v>
      </c>
      <c r="G320" s="107">
        <f t="shared" si="20"/>
        <v>2783.8</v>
      </c>
      <c r="H320" s="107">
        <f t="shared" si="20"/>
        <v>2783.3402</v>
      </c>
      <c r="I320" s="329">
        <f t="shared" si="19"/>
        <v>99.98348300883684</v>
      </c>
    </row>
    <row r="321" spans="1:9" ht="30">
      <c r="A321" s="29" t="s">
        <v>179</v>
      </c>
      <c r="B321" s="32">
        <v>951</v>
      </c>
      <c r="C321" s="54" t="s">
        <v>317</v>
      </c>
      <c r="D321" s="54" t="s">
        <v>112</v>
      </c>
      <c r="E321" s="54" t="s">
        <v>74</v>
      </c>
      <c r="F321" s="54" t="s">
        <v>175</v>
      </c>
      <c r="G321" s="107">
        <f t="shared" si="20"/>
        <v>2783.8</v>
      </c>
      <c r="H321" s="107">
        <f t="shared" si="20"/>
        <v>2783.3402</v>
      </c>
      <c r="I321" s="329">
        <f t="shared" si="19"/>
        <v>99.98348300883684</v>
      </c>
    </row>
    <row r="322" spans="1:9" ht="16.5" customHeight="1">
      <c r="A322" s="29" t="s">
        <v>176</v>
      </c>
      <c r="B322" s="32">
        <v>951</v>
      </c>
      <c r="C322" s="54" t="s">
        <v>317</v>
      </c>
      <c r="D322" s="54" t="s">
        <v>112</v>
      </c>
      <c r="E322" s="54" t="s">
        <v>74</v>
      </c>
      <c r="F322" s="54" t="s">
        <v>240</v>
      </c>
      <c r="G322" s="107">
        <v>2783.8</v>
      </c>
      <c r="H322" s="107">
        <v>2783.3402</v>
      </c>
      <c r="I322" s="329">
        <f t="shared" si="19"/>
        <v>99.98348300883684</v>
      </c>
    </row>
    <row r="323" spans="1:9" ht="42" customHeight="1">
      <c r="A323" s="95" t="s">
        <v>496</v>
      </c>
      <c r="B323" s="32">
        <v>951</v>
      </c>
      <c r="C323" s="92" t="s">
        <v>317</v>
      </c>
      <c r="D323" s="92" t="s">
        <v>112</v>
      </c>
      <c r="E323" s="92" t="s">
        <v>503</v>
      </c>
      <c r="F323" s="92" t="s">
        <v>347</v>
      </c>
      <c r="G323" s="320">
        <f>G324+G327</f>
        <v>150.755</v>
      </c>
      <c r="H323" s="320">
        <f>H324+H327</f>
        <v>150.755</v>
      </c>
      <c r="I323" s="329">
        <f t="shared" si="19"/>
        <v>100</v>
      </c>
    </row>
    <row r="324" spans="1:9" ht="69" customHeight="1">
      <c r="A324" s="75" t="s">
        <v>498</v>
      </c>
      <c r="B324" s="32">
        <v>951</v>
      </c>
      <c r="C324" s="80" t="s">
        <v>317</v>
      </c>
      <c r="D324" s="80" t="s">
        <v>112</v>
      </c>
      <c r="E324" s="80" t="s">
        <v>504</v>
      </c>
      <c r="F324" s="80" t="s">
        <v>347</v>
      </c>
      <c r="G324" s="316">
        <f>G325</f>
        <v>149.24745</v>
      </c>
      <c r="H324" s="316">
        <f>H325</f>
        <v>149.24745</v>
      </c>
      <c r="I324" s="329">
        <f t="shared" si="19"/>
        <v>100</v>
      </c>
    </row>
    <row r="325" spans="1:9" ht="48.75" customHeight="1">
      <c r="A325" s="29" t="s">
        <v>174</v>
      </c>
      <c r="B325" s="32">
        <v>951</v>
      </c>
      <c r="C325" s="54" t="s">
        <v>317</v>
      </c>
      <c r="D325" s="54" t="s">
        <v>112</v>
      </c>
      <c r="E325" s="54" t="s">
        <v>504</v>
      </c>
      <c r="F325" s="54" t="s">
        <v>175</v>
      </c>
      <c r="G325" s="312">
        <f>G326</f>
        <v>149.24745</v>
      </c>
      <c r="H325" s="312">
        <f>H326</f>
        <v>149.24745</v>
      </c>
      <c r="I325" s="329">
        <f t="shared" si="19"/>
        <v>100</v>
      </c>
    </row>
    <row r="326" spans="1:9" ht="20.25" customHeight="1">
      <c r="A326" s="29" t="s">
        <v>176</v>
      </c>
      <c r="B326" s="32">
        <v>951</v>
      </c>
      <c r="C326" s="54" t="s">
        <v>317</v>
      </c>
      <c r="D326" s="54" t="s">
        <v>112</v>
      </c>
      <c r="E326" s="54" t="s">
        <v>504</v>
      </c>
      <c r="F326" s="54" t="s">
        <v>240</v>
      </c>
      <c r="G326" s="312">
        <v>149.24745</v>
      </c>
      <c r="H326" s="312">
        <v>149.24745</v>
      </c>
      <c r="I326" s="329">
        <f t="shared" si="19"/>
        <v>100</v>
      </c>
    </row>
    <row r="327" spans="1:9" ht="87" customHeight="1">
      <c r="A327" s="75" t="s">
        <v>499</v>
      </c>
      <c r="B327" s="32">
        <v>951</v>
      </c>
      <c r="C327" s="80" t="s">
        <v>317</v>
      </c>
      <c r="D327" s="80" t="s">
        <v>112</v>
      </c>
      <c r="E327" s="80" t="s">
        <v>505</v>
      </c>
      <c r="F327" s="80" t="s">
        <v>347</v>
      </c>
      <c r="G327" s="316">
        <f>G328</f>
        <v>1.50755</v>
      </c>
      <c r="H327" s="316">
        <f>H328</f>
        <v>1.50755</v>
      </c>
      <c r="I327" s="329">
        <f t="shared" si="19"/>
        <v>100</v>
      </c>
    </row>
    <row r="328" spans="1:9" ht="47.25" customHeight="1">
      <c r="A328" s="29" t="s">
        <v>174</v>
      </c>
      <c r="B328" s="32">
        <v>951</v>
      </c>
      <c r="C328" s="54" t="s">
        <v>317</v>
      </c>
      <c r="D328" s="54" t="s">
        <v>112</v>
      </c>
      <c r="E328" s="54" t="s">
        <v>505</v>
      </c>
      <c r="F328" s="54" t="s">
        <v>175</v>
      </c>
      <c r="G328" s="312">
        <f>G329</f>
        <v>1.50755</v>
      </c>
      <c r="H328" s="312">
        <f>H329</f>
        <v>1.50755</v>
      </c>
      <c r="I328" s="329">
        <f t="shared" si="19"/>
        <v>100</v>
      </c>
    </row>
    <row r="329" spans="1:9" ht="18" customHeight="1">
      <c r="A329" s="29" t="s">
        <v>176</v>
      </c>
      <c r="B329" s="32">
        <v>951</v>
      </c>
      <c r="C329" s="54" t="s">
        <v>317</v>
      </c>
      <c r="D329" s="54" t="s">
        <v>112</v>
      </c>
      <c r="E329" s="54" t="s">
        <v>505</v>
      </c>
      <c r="F329" s="54" t="s">
        <v>240</v>
      </c>
      <c r="G329" s="312">
        <v>1.50755</v>
      </c>
      <c r="H329" s="312">
        <v>1.50755</v>
      </c>
      <c r="I329" s="329">
        <f t="shared" si="19"/>
        <v>100</v>
      </c>
    </row>
    <row r="330" spans="1:9" ht="87" customHeight="1">
      <c r="A330" s="98" t="s">
        <v>460</v>
      </c>
      <c r="B330" s="32" t="s">
        <v>143</v>
      </c>
      <c r="C330" s="54" t="s">
        <v>317</v>
      </c>
      <c r="D330" s="54" t="s">
        <v>112</v>
      </c>
      <c r="E330" s="54" t="s">
        <v>75</v>
      </c>
      <c r="F330" s="54" t="s">
        <v>347</v>
      </c>
      <c r="G330" s="107">
        <f>G331</f>
        <v>1494</v>
      </c>
      <c r="H330" s="107">
        <f>H331</f>
        <v>1493.9999</v>
      </c>
      <c r="I330" s="329">
        <f t="shared" si="19"/>
        <v>99.99999330655957</v>
      </c>
    </row>
    <row r="331" spans="1:9" ht="45">
      <c r="A331" s="29" t="s">
        <v>174</v>
      </c>
      <c r="B331" s="32" t="s">
        <v>143</v>
      </c>
      <c r="C331" s="54" t="s">
        <v>317</v>
      </c>
      <c r="D331" s="54" t="s">
        <v>112</v>
      </c>
      <c r="E331" s="54" t="s">
        <v>75</v>
      </c>
      <c r="F331" s="54" t="s">
        <v>175</v>
      </c>
      <c r="G331" s="107">
        <f>G332</f>
        <v>1494</v>
      </c>
      <c r="H331" s="107">
        <f>H332</f>
        <v>1493.9999</v>
      </c>
      <c r="I331" s="329">
        <f t="shared" si="19"/>
        <v>99.99999330655957</v>
      </c>
    </row>
    <row r="332" spans="1:9" ht="15">
      <c r="A332" s="29" t="s">
        <v>176</v>
      </c>
      <c r="B332" s="32" t="s">
        <v>143</v>
      </c>
      <c r="C332" s="54" t="s">
        <v>317</v>
      </c>
      <c r="D332" s="54" t="s">
        <v>112</v>
      </c>
      <c r="E332" s="54" t="s">
        <v>75</v>
      </c>
      <c r="F332" s="54" t="s">
        <v>240</v>
      </c>
      <c r="G332" s="107">
        <v>1494</v>
      </c>
      <c r="H332" s="107">
        <v>1493.9999</v>
      </c>
      <c r="I332" s="329">
        <f t="shared" si="19"/>
        <v>99.99999330655957</v>
      </c>
    </row>
    <row r="333" spans="1:9" ht="75" hidden="1">
      <c r="A333" s="29" t="s">
        <v>377</v>
      </c>
      <c r="B333" s="32" t="s">
        <v>143</v>
      </c>
      <c r="C333" s="54" t="s">
        <v>317</v>
      </c>
      <c r="D333" s="54" t="s">
        <v>112</v>
      </c>
      <c r="E333" s="54" t="s">
        <v>376</v>
      </c>
      <c r="F333" s="54" t="s">
        <v>347</v>
      </c>
      <c r="G333" s="312" t="e">
        <f>H333+I333</f>
        <v>#DIV/0!</v>
      </c>
      <c r="H333" s="107"/>
      <c r="I333" s="329" t="e">
        <f t="shared" si="19"/>
        <v>#DIV/0!</v>
      </c>
    </row>
    <row r="334" spans="1:9" ht="45" hidden="1">
      <c r="A334" s="29" t="s">
        <v>174</v>
      </c>
      <c r="B334" s="32" t="s">
        <v>143</v>
      </c>
      <c r="C334" s="54" t="s">
        <v>317</v>
      </c>
      <c r="D334" s="54" t="s">
        <v>112</v>
      </c>
      <c r="E334" s="54" t="s">
        <v>376</v>
      </c>
      <c r="F334" s="54" t="s">
        <v>175</v>
      </c>
      <c r="G334" s="312" t="e">
        <f>H334+I334</f>
        <v>#DIV/0!</v>
      </c>
      <c r="H334" s="107"/>
      <c r="I334" s="329" t="e">
        <f t="shared" si="19"/>
        <v>#DIV/0!</v>
      </c>
    </row>
    <row r="335" spans="1:9" ht="15" hidden="1">
      <c r="A335" s="29" t="s">
        <v>176</v>
      </c>
      <c r="B335" s="32" t="s">
        <v>143</v>
      </c>
      <c r="C335" s="54" t="s">
        <v>317</v>
      </c>
      <c r="D335" s="54" t="s">
        <v>112</v>
      </c>
      <c r="E335" s="54" t="s">
        <v>376</v>
      </c>
      <c r="F335" s="54" t="s">
        <v>240</v>
      </c>
      <c r="G335" s="312">
        <f>H335+I335</f>
        <v>0</v>
      </c>
      <c r="H335" s="107"/>
      <c r="I335" s="329" t="e">
        <f t="shared" si="19"/>
        <v>#DIV/0!</v>
      </c>
    </row>
    <row r="336" spans="1:9" ht="28.5">
      <c r="A336" s="95" t="s">
        <v>5</v>
      </c>
      <c r="B336" s="96">
        <v>951</v>
      </c>
      <c r="C336" s="92" t="s">
        <v>317</v>
      </c>
      <c r="D336" s="92" t="s">
        <v>123</v>
      </c>
      <c r="E336" s="92" t="s">
        <v>262</v>
      </c>
      <c r="F336" s="92" t="s">
        <v>347</v>
      </c>
      <c r="G336" s="310">
        <f>G339+G342+G344+G350</f>
        <v>1215.1</v>
      </c>
      <c r="H336" s="310">
        <f>H339+H342+H344+H350</f>
        <v>1214.63377</v>
      </c>
      <c r="I336" s="328">
        <f t="shared" si="19"/>
        <v>99.9616303184923</v>
      </c>
    </row>
    <row r="337" spans="1:9" ht="37.5" customHeight="1">
      <c r="A337" s="98" t="s">
        <v>461</v>
      </c>
      <c r="B337" s="32">
        <v>951</v>
      </c>
      <c r="C337" s="54" t="s">
        <v>317</v>
      </c>
      <c r="D337" s="54" t="s">
        <v>123</v>
      </c>
      <c r="E337" s="54" t="s">
        <v>76</v>
      </c>
      <c r="F337" s="54" t="s">
        <v>347</v>
      </c>
      <c r="G337" s="107">
        <f>G338</f>
        <v>1129.1</v>
      </c>
      <c r="H337" s="107">
        <f>H338</f>
        <v>1128.63377</v>
      </c>
      <c r="I337" s="329">
        <f t="shared" si="19"/>
        <v>99.95870782038791</v>
      </c>
    </row>
    <row r="338" spans="1:9" ht="45.75" customHeight="1">
      <c r="A338" s="29" t="s">
        <v>174</v>
      </c>
      <c r="B338" s="32">
        <v>951</v>
      </c>
      <c r="C338" s="54" t="s">
        <v>317</v>
      </c>
      <c r="D338" s="54" t="s">
        <v>123</v>
      </c>
      <c r="E338" s="54" t="s">
        <v>76</v>
      </c>
      <c r="F338" s="54" t="s">
        <v>175</v>
      </c>
      <c r="G338" s="107">
        <f>G339</f>
        <v>1129.1</v>
      </c>
      <c r="H338" s="107">
        <f>H339</f>
        <v>1128.63377</v>
      </c>
      <c r="I338" s="329">
        <f t="shared" si="19"/>
        <v>99.95870782038791</v>
      </c>
    </row>
    <row r="339" spans="1:9" ht="16.5" customHeight="1">
      <c r="A339" s="29" t="s">
        <v>176</v>
      </c>
      <c r="B339" s="32">
        <v>951</v>
      </c>
      <c r="C339" s="54" t="s">
        <v>317</v>
      </c>
      <c r="D339" s="54" t="s">
        <v>123</v>
      </c>
      <c r="E339" s="54" t="s">
        <v>76</v>
      </c>
      <c r="F339" s="54" t="s">
        <v>240</v>
      </c>
      <c r="G339" s="107">
        <v>1129.1</v>
      </c>
      <c r="H339" s="107">
        <v>1128.63377</v>
      </c>
      <c r="I339" s="329">
        <f t="shared" si="19"/>
        <v>99.95870782038791</v>
      </c>
    </row>
    <row r="340" spans="1:9" ht="45">
      <c r="A340" s="75" t="s">
        <v>407</v>
      </c>
      <c r="B340" s="97">
        <v>951</v>
      </c>
      <c r="C340" s="80" t="s">
        <v>317</v>
      </c>
      <c r="D340" s="80" t="s">
        <v>123</v>
      </c>
      <c r="E340" s="80" t="s">
        <v>25</v>
      </c>
      <c r="F340" s="80" t="s">
        <v>347</v>
      </c>
      <c r="G340" s="115">
        <f>G341</f>
        <v>39</v>
      </c>
      <c r="H340" s="115">
        <f>H341</f>
        <v>39</v>
      </c>
      <c r="I340" s="329">
        <f t="shared" si="19"/>
        <v>100</v>
      </c>
    </row>
    <row r="341" spans="1:9" ht="30">
      <c r="A341" s="29" t="s">
        <v>77</v>
      </c>
      <c r="B341" s="32">
        <v>951</v>
      </c>
      <c r="C341" s="54" t="s">
        <v>317</v>
      </c>
      <c r="D341" s="54" t="s">
        <v>123</v>
      </c>
      <c r="E341" s="54" t="s">
        <v>425</v>
      </c>
      <c r="F341" s="54" t="s">
        <v>347</v>
      </c>
      <c r="G341" s="107">
        <f>G342</f>
        <v>39</v>
      </c>
      <c r="H341" s="107">
        <f>H342</f>
        <v>39</v>
      </c>
      <c r="I341" s="329">
        <f t="shared" si="19"/>
        <v>100</v>
      </c>
    </row>
    <row r="342" spans="1:9" ht="15">
      <c r="A342" s="29" t="s">
        <v>176</v>
      </c>
      <c r="B342" s="32">
        <v>951</v>
      </c>
      <c r="C342" s="54" t="s">
        <v>317</v>
      </c>
      <c r="D342" s="54" t="s">
        <v>123</v>
      </c>
      <c r="E342" s="54" t="s">
        <v>78</v>
      </c>
      <c r="F342" s="54" t="s">
        <v>240</v>
      </c>
      <c r="G342" s="107">
        <v>39</v>
      </c>
      <c r="H342" s="107">
        <v>39</v>
      </c>
      <c r="I342" s="329">
        <f t="shared" si="19"/>
        <v>100</v>
      </c>
    </row>
    <row r="343" spans="1:9" ht="60">
      <c r="A343" s="75" t="s">
        <v>409</v>
      </c>
      <c r="B343" s="97">
        <v>951</v>
      </c>
      <c r="C343" s="80" t="s">
        <v>317</v>
      </c>
      <c r="D343" s="80" t="s">
        <v>123</v>
      </c>
      <c r="E343" s="80" t="s">
        <v>66</v>
      </c>
      <c r="F343" s="80" t="s">
        <v>347</v>
      </c>
      <c r="G343" s="115">
        <f>G344</f>
        <v>2</v>
      </c>
      <c r="H343" s="115">
        <f>H344</f>
        <v>2</v>
      </c>
      <c r="I343" s="329">
        <f t="shared" si="19"/>
        <v>100</v>
      </c>
    </row>
    <row r="344" spans="1:9" ht="30">
      <c r="A344" s="29" t="s">
        <v>279</v>
      </c>
      <c r="B344" s="32">
        <v>951</v>
      </c>
      <c r="C344" s="54" t="s">
        <v>317</v>
      </c>
      <c r="D344" s="54" t="s">
        <v>123</v>
      </c>
      <c r="E344" s="54" t="s">
        <v>79</v>
      </c>
      <c r="F344" s="54" t="s">
        <v>240</v>
      </c>
      <c r="G344" s="107">
        <v>2</v>
      </c>
      <c r="H344" s="107">
        <v>2</v>
      </c>
      <c r="I344" s="329">
        <f t="shared" si="19"/>
        <v>100</v>
      </c>
    </row>
    <row r="345" spans="1:9" ht="60" hidden="1">
      <c r="A345" s="75" t="s">
        <v>237</v>
      </c>
      <c r="B345" s="32">
        <v>952</v>
      </c>
      <c r="C345" s="54" t="s">
        <v>317</v>
      </c>
      <c r="D345" s="54" t="s">
        <v>123</v>
      </c>
      <c r="E345" s="80" t="s">
        <v>35</v>
      </c>
      <c r="F345" s="80" t="s">
        <v>347</v>
      </c>
      <c r="G345" s="115">
        <f>H345+I345</f>
        <v>0</v>
      </c>
      <c r="H345" s="115">
        <f>H346</f>
        <v>0</v>
      </c>
      <c r="I345" s="329" t="e">
        <f t="shared" si="19"/>
        <v>#DIV/0!</v>
      </c>
    </row>
    <row r="346" spans="1:9" ht="15" hidden="1">
      <c r="A346" s="29" t="s">
        <v>176</v>
      </c>
      <c r="B346" s="32">
        <v>953</v>
      </c>
      <c r="C346" s="54" t="s">
        <v>317</v>
      </c>
      <c r="D346" s="54" t="s">
        <v>123</v>
      </c>
      <c r="E346" s="54" t="s">
        <v>428</v>
      </c>
      <c r="F346" s="54" t="s">
        <v>240</v>
      </c>
      <c r="G346" s="107">
        <f>H346+I346</f>
        <v>0</v>
      </c>
      <c r="H346" s="107"/>
      <c r="I346" s="329" t="e">
        <f t="shared" si="19"/>
        <v>#DIV/0!</v>
      </c>
    </row>
    <row r="347" spans="1:9" ht="30" hidden="1">
      <c r="A347" s="29" t="s">
        <v>434</v>
      </c>
      <c r="B347" s="32">
        <v>954</v>
      </c>
      <c r="C347" s="54" t="s">
        <v>317</v>
      </c>
      <c r="D347" s="54" t="s">
        <v>123</v>
      </c>
      <c r="E347" s="54" t="s">
        <v>428</v>
      </c>
      <c r="F347" s="54" t="s">
        <v>240</v>
      </c>
      <c r="G347" s="107">
        <f>H347+I347</f>
        <v>0</v>
      </c>
      <c r="H347" s="107">
        <v>0</v>
      </c>
      <c r="I347" s="329" t="e">
        <f t="shared" si="19"/>
        <v>#DIV/0!</v>
      </c>
    </row>
    <row r="348" spans="1:9" ht="60" customHeight="1">
      <c r="A348" s="75" t="s">
        <v>416</v>
      </c>
      <c r="B348" s="97">
        <v>951</v>
      </c>
      <c r="C348" s="80" t="s">
        <v>317</v>
      </c>
      <c r="D348" s="80" t="s">
        <v>123</v>
      </c>
      <c r="E348" s="80" t="s">
        <v>32</v>
      </c>
      <c r="F348" s="80" t="s">
        <v>347</v>
      </c>
      <c r="G348" s="316">
        <f>G349</f>
        <v>45</v>
      </c>
      <c r="H348" s="316">
        <f>H349</f>
        <v>45</v>
      </c>
      <c r="I348" s="329">
        <f t="shared" si="19"/>
        <v>100</v>
      </c>
    </row>
    <row r="349" spans="1:9" ht="48" customHeight="1">
      <c r="A349" s="29" t="s">
        <v>174</v>
      </c>
      <c r="B349" s="32">
        <v>951</v>
      </c>
      <c r="C349" s="54" t="s">
        <v>317</v>
      </c>
      <c r="D349" s="54" t="s">
        <v>123</v>
      </c>
      <c r="E349" s="54" t="s">
        <v>641</v>
      </c>
      <c r="F349" s="54" t="s">
        <v>175</v>
      </c>
      <c r="G349" s="312">
        <f>G350</f>
        <v>45</v>
      </c>
      <c r="H349" s="312">
        <f>H350</f>
        <v>45</v>
      </c>
      <c r="I349" s="329">
        <f t="shared" si="19"/>
        <v>100</v>
      </c>
    </row>
    <row r="350" spans="1:9" ht="19.5" customHeight="1">
      <c r="A350" s="29" t="s">
        <v>176</v>
      </c>
      <c r="B350" s="32">
        <v>951</v>
      </c>
      <c r="C350" s="54" t="s">
        <v>317</v>
      </c>
      <c r="D350" s="54" t="s">
        <v>123</v>
      </c>
      <c r="E350" s="54" t="s">
        <v>641</v>
      </c>
      <c r="F350" s="54" t="s">
        <v>240</v>
      </c>
      <c r="G350" s="312">
        <v>45</v>
      </c>
      <c r="H350" s="312">
        <v>45</v>
      </c>
      <c r="I350" s="329">
        <f t="shared" si="19"/>
        <v>100</v>
      </c>
    </row>
    <row r="351" spans="1:9" ht="19.5" customHeight="1">
      <c r="A351" s="355" t="s">
        <v>180</v>
      </c>
      <c r="B351" s="354">
        <v>951</v>
      </c>
      <c r="C351" s="302" t="s">
        <v>181</v>
      </c>
      <c r="D351" s="302" t="s">
        <v>113</v>
      </c>
      <c r="E351" s="302" t="s">
        <v>262</v>
      </c>
      <c r="F351" s="302" t="s">
        <v>347</v>
      </c>
      <c r="G351" s="337">
        <f>G352+G357+G363</f>
        <v>38719.16585</v>
      </c>
      <c r="H351" s="337">
        <f>H352+H357+H363</f>
        <v>37351.7302</v>
      </c>
      <c r="I351" s="336">
        <f t="shared" si="19"/>
        <v>96.46832358089141</v>
      </c>
    </row>
    <row r="352" spans="1:9" ht="16.5" customHeight="1">
      <c r="A352" s="99" t="s">
        <v>106</v>
      </c>
      <c r="B352" s="347">
        <v>951</v>
      </c>
      <c r="C352" s="108" t="s">
        <v>181</v>
      </c>
      <c r="D352" s="108" t="s">
        <v>112</v>
      </c>
      <c r="E352" s="108" t="s">
        <v>262</v>
      </c>
      <c r="F352" s="108" t="s">
        <v>347</v>
      </c>
      <c r="G352" s="109">
        <f aca="true" t="shared" si="21" ref="G352:H355">G353</f>
        <v>741.7</v>
      </c>
      <c r="H352" s="109">
        <f t="shared" si="21"/>
        <v>689.72998</v>
      </c>
      <c r="I352" s="329">
        <f t="shared" si="19"/>
        <v>92.99312120803557</v>
      </c>
    </row>
    <row r="353" spans="1:9" ht="31.5" customHeight="1">
      <c r="A353" s="29" t="s">
        <v>517</v>
      </c>
      <c r="B353" s="32">
        <v>951</v>
      </c>
      <c r="C353" s="54" t="s">
        <v>181</v>
      </c>
      <c r="D353" s="54" t="s">
        <v>112</v>
      </c>
      <c r="E353" s="54" t="s">
        <v>80</v>
      </c>
      <c r="F353" s="54" t="s">
        <v>347</v>
      </c>
      <c r="G353" s="107">
        <f t="shared" si="21"/>
        <v>741.7</v>
      </c>
      <c r="H353" s="107">
        <f t="shared" si="21"/>
        <v>689.72998</v>
      </c>
      <c r="I353" s="329">
        <f t="shared" si="19"/>
        <v>92.99312120803557</v>
      </c>
    </row>
    <row r="354" spans="1:9" ht="43.5" customHeight="1">
      <c r="A354" s="29" t="s">
        <v>107</v>
      </c>
      <c r="B354" s="32">
        <v>951</v>
      </c>
      <c r="C354" s="54" t="s">
        <v>181</v>
      </c>
      <c r="D354" s="54" t="s">
        <v>112</v>
      </c>
      <c r="E354" s="54" t="s">
        <v>80</v>
      </c>
      <c r="F354" s="54" t="s">
        <v>347</v>
      </c>
      <c r="G354" s="107">
        <f t="shared" si="21"/>
        <v>741.7</v>
      </c>
      <c r="H354" s="107">
        <f t="shared" si="21"/>
        <v>689.72998</v>
      </c>
      <c r="I354" s="329">
        <f t="shared" si="19"/>
        <v>92.99312120803557</v>
      </c>
    </row>
    <row r="355" spans="1:9" ht="30">
      <c r="A355" s="29" t="s">
        <v>165</v>
      </c>
      <c r="B355" s="32">
        <v>951</v>
      </c>
      <c r="C355" s="54" t="s">
        <v>181</v>
      </c>
      <c r="D355" s="54" t="s">
        <v>112</v>
      </c>
      <c r="E355" s="54" t="s">
        <v>80</v>
      </c>
      <c r="F355" s="54" t="s">
        <v>122</v>
      </c>
      <c r="G355" s="107">
        <f t="shared" si="21"/>
        <v>741.7</v>
      </c>
      <c r="H355" s="107">
        <f t="shared" si="21"/>
        <v>689.72998</v>
      </c>
      <c r="I355" s="329">
        <f t="shared" si="19"/>
        <v>92.99312120803557</v>
      </c>
    </row>
    <row r="356" spans="1:9" ht="30" customHeight="1">
      <c r="A356" s="29" t="s">
        <v>166</v>
      </c>
      <c r="B356" s="32">
        <v>951</v>
      </c>
      <c r="C356" s="54" t="s">
        <v>181</v>
      </c>
      <c r="D356" s="54" t="s">
        <v>112</v>
      </c>
      <c r="E356" s="54" t="s">
        <v>80</v>
      </c>
      <c r="F356" s="54" t="s">
        <v>167</v>
      </c>
      <c r="G356" s="107">
        <v>741.7</v>
      </c>
      <c r="H356" s="107">
        <v>689.72998</v>
      </c>
      <c r="I356" s="329">
        <f t="shared" si="19"/>
        <v>92.99312120803557</v>
      </c>
    </row>
    <row r="357" spans="1:9" ht="17.25" customHeight="1">
      <c r="A357" s="99" t="s">
        <v>516</v>
      </c>
      <c r="B357" s="347">
        <v>951</v>
      </c>
      <c r="C357" s="108" t="s">
        <v>181</v>
      </c>
      <c r="D357" s="108" t="s">
        <v>119</v>
      </c>
      <c r="E357" s="108" t="s">
        <v>262</v>
      </c>
      <c r="F357" s="108" t="s">
        <v>347</v>
      </c>
      <c r="G357" s="109">
        <f>G358</f>
        <v>28.4</v>
      </c>
      <c r="H357" s="109">
        <f>H358</f>
        <v>28.392</v>
      </c>
      <c r="I357" s="329">
        <f t="shared" si="19"/>
        <v>99.9718309859155</v>
      </c>
    </row>
    <row r="358" spans="1:9" ht="45" customHeight="1">
      <c r="A358" s="75" t="s">
        <v>97</v>
      </c>
      <c r="B358" s="32">
        <v>951</v>
      </c>
      <c r="C358" s="80" t="s">
        <v>181</v>
      </c>
      <c r="D358" s="80" t="s">
        <v>119</v>
      </c>
      <c r="E358" s="80" t="s">
        <v>81</v>
      </c>
      <c r="F358" s="80" t="s">
        <v>347</v>
      </c>
      <c r="G358" s="115">
        <f>G359</f>
        <v>28.4</v>
      </c>
      <c r="H358" s="115">
        <f>H359</f>
        <v>28.392</v>
      </c>
      <c r="I358" s="329">
        <f aca="true" t="shared" si="22" ref="I358:I421">H358/G358*100</f>
        <v>99.9718309859155</v>
      </c>
    </row>
    <row r="359" spans="1:9" ht="29.25" customHeight="1">
      <c r="A359" s="29" t="s">
        <v>168</v>
      </c>
      <c r="B359" s="32">
        <v>951</v>
      </c>
      <c r="C359" s="54" t="s">
        <v>181</v>
      </c>
      <c r="D359" s="54" t="s">
        <v>119</v>
      </c>
      <c r="E359" s="54" t="s">
        <v>82</v>
      </c>
      <c r="F359" s="54" t="s">
        <v>169</v>
      </c>
      <c r="G359" s="107">
        <v>28.4</v>
      </c>
      <c r="H359" s="107">
        <v>28.392</v>
      </c>
      <c r="I359" s="329">
        <f t="shared" si="22"/>
        <v>99.9718309859155</v>
      </c>
    </row>
    <row r="360" spans="1:9" ht="17.25" customHeight="1" hidden="1">
      <c r="A360" s="361" t="s">
        <v>463</v>
      </c>
      <c r="B360" s="347">
        <v>952</v>
      </c>
      <c r="C360" s="54" t="s">
        <v>181</v>
      </c>
      <c r="D360" s="54" t="s">
        <v>119</v>
      </c>
      <c r="E360" s="108" t="s">
        <v>262</v>
      </c>
      <c r="F360" s="108" t="s">
        <v>347</v>
      </c>
      <c r="G360" s="313">
        <f>H360</f>
        <v>0</v>
      </c>
      <c r="H360" s="109">
        <f>H361</f>
        <v>0</v>
      </c>
      <c r="I360" s="329" t="e">
        <f t="shared" si="22"/>
        <v>#DIV/0!</v>
      </c>
    </row>
    <row r="361" spans="1:9" ht="29.25" customHeight="1" hidden="1">
      <c r="A361" s="29" t="s">
        <v>165</v>
      </c>
      <c r="B361" s="32">
        <v>953</v>
      </c>
      <c r="C361" s="54" t="s">
        <v>181</v>
      </c>
      <c r="D361" s="54" t="s">
        <v>119</v>
      </c>
      <c r="E361" s="54" t="s">
        <v>464</v>
      </c>
      <c r="F361" s="54" t="s">
        <v>122</v>
      </c>
      <c r="G361" s="312">
        <f>H361</f>
        <v>0</v>
      </c>
      <c r="H361" s="107">
        <f>H362</f>
        <v>0</v>
      </c>
      <c r="I361" s="329" t="e">
        <f t="shared" si="22"/>
        <v>#DIV/0!</v>
      </c>
    </row>
    <row r="362" spans="1:9" ht="29.25" customHeight="1" hidden="1">
      <c r="A362" s="29" t="s">
        <v>168</v>
      </c>
      <c r="B362" s="32">
        <v>954</v>
      </c>
      <c r="C362" s="54" t="s">
        <v>181</v>
      </c>
      <c r="D362" s="54" t="s">
        <v>119</v>
      </c>
      <c r="E362" s="54" t="s">
        <v>464</v>
      </c>
      <c r="F362" s="54" t="s">
        <v>169</v>
      </c>
      <c r="G362" s="312">
        <f>H362</f>
        <v>0</v>
      </c>
      <c r="H362" s="107"/>
      <c r="I362" s="329" t="e">
        <f t="shared" si="22"/>
        <v>#DIV/0!</v>
      </c>
    </row>
    <row r="363" spans="1:9" ht="19.5" customHeight="1">
      <c r="A363" s="99" t="s">
        <v>340</v>
      </c>
      <c r="B363" s="347">
        <v>951</v>
      </c>
      <c r="C363" s="108" t="s">
        <v>181</v>
      </c>
      <c r="D363" s="108" t="s">
        <v>123</v>
      </c>
      <c r="E363" s="108" t="s">
        <v>262</v>
      </c>
      <c r="F363" s="108" t="s">
        <v>347</v>
      </c>
      <c r="G363" s="109">
        <f>G364+G369+G375</f>
        <v>37949.06585</v>
      </c>
      <c r="H363" s="109">
        <f>H364+H369+H375</f>
        <v>36633.608219999995</v>
      </c>
      <c r="I363" s="329">
        <f t="shared" si="22"/>
        <v>96.53362315900063</v>
      </c>
    </row>
    <row r="364" spans="1:9" ht="58.5" customHeight="1">
      <c r="A364" s="76" t="s">
        <v>500</v>
      </c>
      <c r="B364" s="97">
        <v>951</v>
      </c>
      <c r="C364" s="80" t="s">
        <v>181</v>
      </c>
      <c r="D364" s="80" t="s">
        <v>123</v>
      </c>
      <c r="E364" s="80" t="s">
        <v>262</v>
      </c>
      <c r="F364" s="80" t="s">
        <v>347</v>
      </c>
      <c r="G364" s="316">
        <f>G365+G367</f>
        <v>21572.52985</v>
      </c>
      <c r="H364" s="316">
        <f>H365+H367</f>
        <v>21569.468559999998</v>
      </c>
      <c r="I364" s="329">
        <f t="shared" si="22"/>
        <v>99.98580931387609</v>
      </c>
    </row>
    <row r="365" spans="1:9" ht="33.75" customHeight="1">
      <c r="A365" s="29" t="s">
        <v>151</v>
      </c>
      <c r="B365" s="32">
        <v>951</v>
      </c>
      <c r="C365" s="54" t="s">
        <v>181</v>
      </c>
      <c r="D365" s="54" t="s">
        <v>123</v>
      </c>
      <c r="E365" s="54" t="s">
        <v>523</v>
      </c>
      <c r="F365" s="54" t="s">
        <v>121</v>
      </c>
      <c r="G365" s="312">
        <f>G366</f>
        <v>57</v>
      </c>
      <c r="H365" s="312">
        <f>H366</f>
        <v>53.93871</v>
      </c>
      <c r="I365" s="329">
        <f t="shared" si="22"/>
        <v>94.6293157894737</v>
      </c>
    </row>
    <row r="366" spans="1:9" ht="46.5" customHeight="1">
      <c r="A366" s="61" t="s">
        <v>152</v>
      </c>
      <c r="B366" s="32">
        <v>951</v>
      </c>
      <c r="C366" s="54" t="s">
        <v>181</v>
      </c>
      <c r="D366" s="54" t="s">
        <v>123</v>
      </c>
      <c r="E366" s="54" t="s">
        <v>523</v>
      </c>
      <c r="F366" s="54" t="s">
        <v>153</v>
      </c>
      <c r="G366" s="312">
        <v>57</v>
      </c>
      <c r="H366" s="107">
        <v>53.93871</v>
      </c>
      <c r="I366" s="329">
        <f t="shared" si="22"/>
        <v>94.6293157894737</v>
      </c>
    </row>
    <row r="367" spans="1:9" ht="42" customHeight="1">
      <c r="A367" s="61" t="s">
        <v>514</v>
      </c>
      <c r="B367" s="32">
        <v>951</v>
      </c>
      <c r="C367" s="54" t="s">
        <v>181</v>
      </c>
      <c r="D367" s="54" t="s">
        <v>123</v>
      </c>
      <c r="E367" s="54" t="s">
        <v>523</v>
      </c>
      <c r="F367" s="54" t="s">
        <v>512</v>
      </c>
      <c r="G367" s="312">
        <f>G368</f>
        <v>21515.52985</v>
      </c>
      <c r="H367" s="312">
        <f>H368</f>
        <v>21515.52985</v>
      </c>
      <c r="I367" s="329">
        <f t="shared" si="22"/>
        <v>100</v>
      </c>
    </row>
    <row r="368" spans="1:9" ht="16.5" customHeight="1">
      <c r="A368" s="61" t="s">
        <v>515</v>
      </c>
      <c r="B368" s="32">
        <v>951</v>
      </c>
      <c r="C368" s="54" t="s">
        <v>181</v>
      </c>
      <c r="D368" s="54" t="s">
        <v>123</v>
      </c>
      <c r="E368" s="54" t="s">
        <v>523</v>
      </c>
      <c r="F368" s="54" t="s">
        <v>513</v>
      </c>
      <c r="G368" s="312">
        <v>21515.52985</v>
      </c>
      <c r="H368" s="107">
        <v>21515.52985</v>
      </c>
      <c r="I368" s="329">
        <f t="shared" si="22"/>
        <v>100</v>
      </c>
    </row>
    <row r="369" spans="1:9" ht="99" customHeight="1">
      <c r="A369" s="75" t="s">
        <v>643</v>
      </c>
      <c r="B369" s="32">
        <v>951</v>
      </c>
      <c r="C369" s="54" t="s">
        <v>181</v>
      </c>
      <c r="D369" s="54" t="s">
        <v>123</v>
      </c>
      <c r="E369" s="80" t="s">
        <v>644</v>
      </c>
      <c r="F369" s="80" t="s">
        <v>347</v>
      </c>
      <c r="G369" s="316">
        <f>G370+G372</f>
        <v>15875.701000000001</v>
      </c>
      <c r="H369" s="316">
        <f>H370+H372</f>
        <v>14887.69924</v>
      </c>
      <c r="I369" s="329">
        <f t="shared" si="22"/>
        <v>93.7766416739645</v>
      </c>
    </row>
    <row r="370" spans="1:9" ht="39" customHeight="1">
      <c r="A370" s="29" t="s">
        <v>151</v>
      </c>
      <c r="B370" s="32" t="s">
        <v>143</v>
      </c>
      <c r="C370" s="54" t="s">
        <v>181</v>
      </c>
      <c r="D370" s="54" t="s">
        <v>123</v>
      </c>
      <c r="E370" s="54" t="s">
        <v>644</v>
      </c>
      <c r="F370" s="54" t="s">
        <v>121</v>
      </c>
      <c r="G370" s="312">
        <f>G371</f>
        <v>150</v>
      </c>
      <c r="H370" s="312">
        <f>H371</f>
        <v>89.18952</v>
      </c>
      <c r="I370" s="329">
        <f t="shared" si="22"/>
        <v>59.459680000000006</v>
      </c>
    </row>
    <row r="371" spans="1:9" ht="42.75" customHeight="1">
      <c r="A371" s="61" t="s">
        <v>152</v>
      </c>
      <c r="B371" s="32" t="s">
        <v>143</v>
      </c>
      <c r="C371" s="54" t="s">
        <v>181</v>
      </c>
      <c r="D371" s="54" t="s">
        <v>123</v>
      </c>
      <c r="E371" s="54" t="s">
        <v>644</v>
      </c>
      <c r="F371" s="54" t="s">
        <v>153</v>
      </c>
      <c r="G371" s="312">
        <v>150</v>
      </c>
      <c r="H371" s="107">
        <v>89.18952</v>
      </c>
      <c r="I371" s="329">
        <f t="shared" si="22"/>
        <v>59.459680000000006</v>
      </c>
    </row>
    <row r="372" spans="1:9" ht="29.25" customHeight="1">
      <c r="A372" s="29" t="s">
        <v>165</v>
      </c>
      <c r="B372" s="32">
        <v>951</v>
      </c>
      <c r="C372" s="54" t="s">
        <v>181</v>
      </c>
      <c r="D372" s="54" t="s">
        <v>123</v>
      </c>
      <c r="E372" s="54" t="s">
        <v>644</v>
      </c>
      <c r="F372" s="54" t="s">
        <v>122</v>
      </c>
      <c r="G372" s="312">
        <f>G373+G374</f>
        <v>15725.701000000001</v>
      </c>
      <c r="H372" s="312">
        <f>H373+H374</f>
        <v>14798.50972</v>
      </c>
      <c r="I372" s="329">
        <f t="shared" si="22"/>
        <v>94.10397488798749</v>
      </c>
    </row>
    <row r="373" spans="1:9" ht="29.25" customHeight="1">
      <c r="A373" s="29" t="s">
        <v>166</v>
      </c>
      <c r="B373" s="32" t="s">
        <v>143</v>
      </c>
      <c r="C373" s="54" t="s">
        <v>181</v>
      </c>
      <c r="D373" s="54" t="s">
        <v>123</v>
      </c>
      <c r="E373" s="54" t="s">
        <v>644</v>
      </c>
      <c r="F373" s="54" t="s">
        <v>167</v>
      </c>
      <c r="G373" s="312">
        <v>11103.797</v>
      </c>
      <c r="H373" s="107">
        <v>11022.1086</v>
      </c>
      <c r="I373" s="329">
        <f t="shared" si="22"/>
        <v>99.26432012400802</v>
      </c>
    </row>
    <row r="374" spans="1:9" ht="29.25" customHeight="1">
      <c r="A374" s="29" t="s">
        <v>168</v>
      </c>
      <c r="B374" s="32">
        <v>951</v>
      </c>
      <c r="C374" s="54" t="s">
        <v>181</v>
      </c>
      <c r="D374" s="54" t="s">
        <v>123</v>
      </c>
      <c r="E374" s="54" t="s">
        <v>644</v>
      </c>
      <c r="F374" s="54" t="s">
        <v>169</v>
      </c>
      <c r="G374" s="312">
        <v>4621.904</v>
      </c>
      <c r="H374" s="107">
        <v>3776.40112</v>
      </c>
      <c r="I374" s="329">
        <f t="shared" si="22"/>
        <v>81.70661095513883</v>
      </c>
    </row>
    <row r="375" spans="1:9" ht="85.5" customHeight="1">
      <c r="A375" s="75" t="s">
        <v>645</v>
      </c>
      <c r="B375" s="32">
        <v>951</v>
      </c>
      <c r="C375" s="54" t="s">
        <v>181</v>
      </c>
      <c r="D375" s="54" t="s">
        <v>123</v>
      </c>
      <c r="E375" s="80" t="s">
        <v>646</v>
      </c>
      <c r="F375" s="80" t="s">
        <v>347</v>
      </c>
      <c r="G375" s="316">
        <f>G376+G378</f>
        <v>500.835</v>
      </c>
      <c r="H375" s="316">
        <f>H376+H378</f>
        <v>176.44042</v>
      </c>
      <c r="I375" s="329">
        <f t="shared" si="22"/>
        <v>35.229251150578534</v>
      </c>
    </row>
    <row r="376" spans="1:9" ht="30.75" customHeight="1">
      <c r="A376" s="29" t="s">
        <v>151</v>
      </c>
      <c r="B376" s="32" t="s">
        <v>143</v>
      </c>
      <c r="C376" s="54" t="s">
        <v>181</v>
      </c>
      <c r="D376" s="54" t="s">
        <v>123</v>
      </c>
      <c r="E376" s="54" t="s">
        <v>646</v>
      </c>
      <c r="F376" s="54" t="s">
        <v>121</v>
      </c>
      <c r="G376" s="312">
        <f>G377</f>
        <v>5</v>
      </c>
      <c r="H376" s="312">
        <f>H377</f>
        <v>0</v>
      </c>
      <c r="I376" s="329">
        <f t="shared" si="22"/>
        <v>0</v>
      </c>
    </row>
    <row r="377" spans="1:9" ht="42.75" customHeight="1">
      <c r="A377" s="61" t="s">
        <v>152</v>
      </c>
      <c r="B377" s="32" t="s">
        <v>143</v>
      </c>
      <c r="C377" s="54" t="s">
        <v>181</v>
      </c>
      <c r="D377" s="54" t="s">
        <v>123</v>
      </c>
      <c r="E377" s="54" t="s">
        <v>646</v>
      </c>
      <c r="F377" s="54" t="s">
        <v>153</v>
      </c>
      <c r="G377" s="312">
        <v>5</v>
      </c>
      <c r="H377" s="107">
        <v>0</v>
      </c>
      <c r="I377" s="329">
        <f t="shared" si="22"/>
        <v>0</v>
      </c>
    </row>
    <row r="378" spans="1:9" ht="29.25" customHeight="1">
      <c r="A378" s="29" t="s">
        <v>165</v>
      </c>
      <c r="B378" s="32">
        <v>951</v>
      </c>
      <c r="C378" s="54" t="s">
        <v>181</v>
      </c>
      <c r="D378" s="54" t="s">
        <v>123</v>
      </c>
      <c r="E378" s="54" t="s">
        <v>646</v>
      </c>
      <c r="F378" s="54" t="s">
        <v>122</v>
      </c>
      <c r="G378" s="312">
        <f>G379</f>
        <v>495.835</v>
      </c>
      <c r="H378" s="312">
        <f>H379</f>
        <v>176.44042</v>
      </c>
      <c r="I378" s="329">
        <f t="shared" si="22"/>
        <v>35.58450290923392</v>
      </c>
    </row>
    <row r="379" spans="1:9" ht="29.25" customHeight="1">
      <c r="A379" s="29" t="s">
        <v>166</v>
      </c>
      <c r="B379" s="32">
        <v>951</v>
      </c>
      <c r="C379" s="54" t="s">
        <v>181</v>
      </c>
      <c r="D379" s="54" t="s">
        <v>123</v>
      </c>
      <c r="E379" s="54" t="s">
        <v>646</v>
      </c>
      <c r="F379" s="54" t="s">
        <v>167</v>
      </c>
      <c r="G379" s="312">
        <v>495.835</v>
      </c>
      <c r="H379" s="107">
        <v>176.44042</v>
      </c>
      <c r="I379" s="329">
        <f t="shared" si="22"/>
        <v>35.58450290923392</v>
      </c>
    </row>
    <row r="380" spans="1:13" ht="15">
      <c r="A380" s="353" t="s">
        <v>184</v>
      </c>
      <c r="B380" s="354">
        <v>951</v>
      </c>
      <c r="C380" s="302" t="s">
        <v>130</v>
      </c>
      <c r="D380" s="302" t="s">
        <v>113</v>
      </c>
      <c r="E380" s="302" t="s">
        <v>262</v>
      </c>
      <c r="F380" s="302" t="s">
        <v>347</v>
      </c>
      <c r="G380" s="337">
        <f>G381</f>
        <v>35812.869269999996</v>
      </c>
      <c r="H380" s="337">
        <f>H381</f>
        <v>35423.22356</v>
      </c>
      <c r="I380" s="336">
        <f t="shared" si="22"/>
        <v>98.9119952744853</v>
      </c>
      <c r="L380" s="343"/>
      <c r="M380" s="343"/>
    </row>
    <row r="381" spans="1:9" ht="15">
      <c r="A381" s="29" t="s">
        <v>283</v>
      </c>
      <c r="B381" s="32">
        <v>951</v>
      </c>
      <c r="C381" s="54" t="s">
        <v>130</v>
      </c>
      <c r="D381" s="54" t="s">
        <v>114</v>
      </c>
      <c r="E381" s="54" t="s">
        <v>262</v>
      </c>
      <c r="F381" s="54" t="s">
        <v>347</v>
      </c>
      <c r="G381" s="107">
        <f>G382</f>
        <v>35812.869269999996</v>
      </c>
      <c r="H381" s="107">
        <f>H382</f>
        <v>35423.22356</v>
      </c>
      <c r="I381" s="329">
        <f t="shared" si="22"/>
        <v>98.9119952744853</v>
      </c>
    </row>
    <row r="382" spans="1:9" ht="43.5" customHeight="1">
      <c r="A382" s="75" t="s">
        <v>413</v>
      </c>
      <c r="B382" s="97">
        <v>951</v>
      </c>
      <c r="C382" s="80" t="s">
        <v>130</v>
      </c>
      <c r="D382" s="80" t="s">
        <v>114</v>
      </c>
      <c r="E382" s="80" t="s">
        <v>85</v>
      </c>
      <c r="F382" s="80" t="s">
        <v>347</v>
      </c>
      <c r="G382" s="115">
        <f>G383+G386+G397+G400</f>
        <v>35812.869269999996</v>
      </c>
      <c r="H382" s="115">
        <f>H383+H386+H397+H400</f>
        <v>35423.22356</v>
      </c>
      <c r="I382" s="329">
        <f t="shared" si="22"/>
        <v>98.9119952744853</v>
      </c>
    </row>
    <row r="383" spans="1:9" ht="30.75" customHeight="1">
      <c r="A383" s="29" t="s">
        <v>185</v>
      </c>
      <c r="B383" s="32">
        <v>951</v>
      </c>
      <c r="C383" s="54" t="s">
        <v>130</v>
      </c>
      <c r="D383" s="54" t="s">
        <v>114</v>
      </c>
      <c r="E383" s="54" t="s">
        <v>86</v>
      </c>
      <c r="F383" s="54" t="s">
        <v>347</v>
      </c>
      <c r="G383" s="107">
        <f>G384</f>
        <v>89.00303</v>
      </c>
      <c r="H383" s="107">
        <f>H384</f>
        <v>59</v>
      </c>
      <c r="I383" s="329">
        <f t="shared" si="22"/>
        <v>66.28987799628845</v>
      </c>
    </row>
    <row r="384" spans="1:9" ht="30" customHeight="1">
      <c r="A384" s="29" t="s">
        <v>151</v>
      </c>
      <c r="B384" s="32">
        <v>951</v>
      </c>
      <c r="C384" s="54" t="s">
        <v>130</v>
      </c>
      <c r="D384" s="54" t="s">
        <v>114</v>
      </c>
      <c r="E384" s="54" t="s">
        <v>86</v>
      </c>
      <c r="F384" s="54" t="s">
        <v>121</v>
      </c>
      <c r="G384" s="107">
        <f>G385</f>
        <v>89.00303</v>
      </c>
      <c r="H384" s="107">
        <f>H385</f>
        <v>59</v>
      </c>
      <c r="I384" s="329">
        <f t="shared" si="22"/>
        <v>66.28987799628845</v>
      </c>
    </row>
    <row r="385" spans="1:9" ht="45">
      <c r="A385" s="61" t="s">
        <v>152</v>
      </c>
      <c r="B385" s="32">
        <v>951</v>
      </c>
      <c r="C385" s="54" t="s">
        <v>130</v>
      </c>
      <c r="D385" s="54" t="s">
        <v>114</v>
      </c>
      <c r="E385" s="54" t="s">
        <v>86</v>
      </c>
      <c r="F385" s="54" t="s">
        <v>153</v>
      </c>
      <c r="G385" s="107">
        <v>89.00303</v>
      </c>
      <c r="H385" s="107">
        <v>59</v>
      </c>
      <c r="I385" s="329">
        <f t="shared" si="22"/>
        <v>66.28987799628845</v>
      </c>
    </row>
    <row r="386" spans="1:9" ht="42.75">
      <c r="A386" s="106" t="s">
        <v>507</v>
      </c>
      <c r="B386" s="32">
        <v>951</v>
      </c>
      <c r="C386" s="92" t="s">
        <v>130</v>
      </c>
      <c r="D386" s="92" t="s">
        <v>114</v>
      </c>
      <c r="E386" s="92" t="s">
        <v>85</v>
      </c>
      <c r="F386" s="92" t="s">
        <v>347</v>
      </c>
      <c r="G386" s="320">
        <f>G387+G392</f>
        <v>34242.54545</v>
      </c>
      <c r="H386" s="320">
        <f>H387+H392</f>
        <v>34180.80956</v>
      </c>
      <c r="I386" s="329">
        <f t="shared" si="22"/>
        <v>99.81970998595843</v>
      </c>
    </row>
    <row r="387" spans="1:9" ht="75">
      <c r="A387" s="76" t="s">
        <v>509</v>
      </c>
      <c r="B387" s="32">
        <v>951</v>
      </c>
      <c r="C387" s="80" t="s">
        <v>130</v>
      </c>
      <c r="D387" s="80" t="s">
        <v>114</v>
      </c>
      <c r="E387" s="80" t="s">
        <v>540</v>
      </c>
      <c r="F387" s="80" t="s">
        <v>347</v>
      </c>
      <c r="G387" s="316">
        <f>G388</f>
        <v>33900</v>
      </c>
      <c r="H387" s="316">
        <f>H388</f>
        <v>33839.00146</v>
      </c>
      <c r="I387" s="329">
        <f t="shared" si="22"/>
        <v>99.8200633038348</v>
      </c>
    </row>
    <row r="388" spans="1:9" ht="45">
      <c r="A388" s="61" t="s">
        <v>514</v>
      </c>
      <c r="B388" s="32">
        <v>951</v>
      </c>
      <c r="C388" s="54" t="s">
        <v>130</v>
      </c>
      <c r="D388" s="54" t="s">
        <v>114</v>
      </c>
      <c r="E388" s="54" t="s">
        <v>540</v>
      </c>
      <c r="F388" s="54" t="s">
        <v>512</v>
      </c>
      <c r="G388" s="312">
        <f>G389</f>
        <v>33900</v>
      </c>
      <c r="H388" s="312">
        <f>H389</f>
        <v>33839.00146</v>
      </c>
      <c r="I388" s="329">
        <f t="shared" si="22"/>
        <v>99.8200633038348</v>
      </c>
    </row>
    <row r="389" spans="1:9" ht="15">
      <c r="A389" s="61" t="s">
        <v>515</v>
      </c>
      <c r="B389" s="32">
        <v>951</v>
      </c>
      <c r="C389" s="54" t="s">
        <v>130</v>
      </c>
      <c r="D389" s="54" t="s">
        <v>114</v>
      </c>
      <c r="E389" s="54" t="s">
        <v>540</v>
      </c>
      <c r="F389" s="54" t="s">
        <v>513</v>
      </c>
      <c r="G389" s="312">
        <v>33900</v>
      </c>
      <c r="H389" s="107">
        <v>33839.00146</v>
      </c>
      <c r="I389" s="329">
        <f t="shared" si="22"/>
        <v>99.8200633038348</v>
      </c>
    </row>
    <row r="390" spans="1:9" ht="45" hidden="1">
      <c r="A390" s="29" t="s">
        <v>535</v>
      </c>
      <c r="B390" s="32">
        <v>952</v>
      </c>
      <c r="C390" s="54" t="s">
        <v>130</v>
      </c>
      <c r="D390" s="54" t="s">
        <v>114</v>
      </c>
      <c r="E390" s="54" t="s">
        <v>540</v>
      </c>
      <c r="F390" s="54" t="s">
        <v>175</v>
      </c>
      <c r="G390" s="312" t="e">
        <f>I390</f>
        <v>#DIV/0!</v>
      </c>
      <c r="H390" s="107"/>
      <c r="I390" s="329" t="e">
        <f t="shared" si="22"/>
        <v>#DIV/0!</v>
      </c>
    </row>
    <row r="391" spans="1:9" ht="15.75" customHeight="1" hidden="1">
      <c r="A391" s="29" t="s">
        <v>142</v>
      </c>
      <c r="B391" s="32">
        <v>953</v>
      </c>
      <c r="C391" s="54" t="s">
        <v>130</v>
      </c>
      <c r="D391" s="54" t="s">
        <v>114</v>
      </c>
      <c r="E391" s="54" t="s">
        <v>540</v>
      </c>
      <c r="F391" s="54" t="s">
        <v>240</v>
      </c>
      <c r="G391" s="312" t="e">
        <f>I391</f>
        <v>#DIV/0!</v>
      </c>
      <c r="H391" s="107"/>
      <c r="I391" s="329" t="e">
        <f t="shared" si="22"/>
        <v>#DIV/0!</v>
      </c>
    </row>
    <row r="392" spans="1:9" ht="87" customHeight="1">
      <c r="A392" s="76" t="s">
        <v>510</v>
      </c>
      <c r="B392" s="32">
        <v>951</v>
      </c>
      <c r="C392" s="80" t="s">
        <v>130</v>
      </c>
      <c r="D392" s="80" t="s">
        <v>114</v>
      </c>
      <c r="E392" s="80" t="s">
        <v>539</v>
      </c>
      <c r="F392" s="80" t="s">
        <v>347</v>
      </c>
      <c r="G392" s="316">
        <f>G393</f>
        <v>342.54545</v>
      </c>
      <c r="H392" s="316">
        <f>H393</f>
        <v>341.8081</v>
      </c>
      <c r="I392" s="329">
        <f t="shared" si="22"/>
        <v>99.78474389310966</v>
      </c>
    </row>
    <row r="393" spans="1:9" ht="45">
      <c r="A393" s="61" t="s">
        <v>514</v>
      </c>
      <c r="B393" s="32">
        <v>951</v>
      </c>
      <c r="C393" s="54" t="s">
        <v>130</v>
      </c>
      <c r="D393" s="54" t="s">
        <v>114</v>
      </c>
      <c r="E393" s="54" t="s">
        <v>539</v>
      </c>
      <c r="F393" s="54" t="s">
        <v>512</v>
      </c>
      <c r="G393" s="312">
        <f>G394</f>
        <v>342.54545</v>
      </c>
      <c r="H393" s="312">
        <f>H394</f>
        <v>341.8081</v>
      </c>
      <c r="I393" s="329">
        <f t="shared" si="22"/>
        <v>99.78474389310966</v>
      </c>
    </row>
    <row r="394" spans="1:9" ht="15">
      <c r="A394" s="61" t="s">
        <v>515</v>
      </c>
      <c r="B394" s="32">
        <v>951</v>
      </c>
      <c r="C394" s="54" t="s">
        <v>130</v>
      </c>
      <c r="D394" s="54" t="s">
        <v>114</v>
      </c>
      <c r="E394" s="54" t="s">
        <v>539</v>
      </c>
      <c r="F394" s="54" t="s">
        <v>513</v>
      </c>
      <c r="G394" s="312">
        <v>342.54545</v>
      </c>
      <c r="H394" s="107">
        <v>341.8081</v>
      </c>
      <c r="I394" s="329">
        <f t="shared" si="22"/>
        <v>99.78474389310966</v>
      </c>
    </row>
    <row r="395" spans="1:9" ht="42" customHeight="1" hidden="1">
      <c r="A395" s="29" t="s">
        <v>535</v>
      </c>
      <c r="B395" s="32">
        <v>952</v>
      </c>
      <c r="C395" s="54" t="s">
        <v>130</v>
      </c>
      <c r="D395" s="54" t="s">
        <v>114</v>
      </c>
      <c r="E395" s="54" t="s">
        <v>539</v>
      </c>
      <c r="F395" s="54" t="s">
        <v>175</v>
      </c>
      <c r="G395" s="312">
        <f>H395</f>
        <v>0</v>
      </c>
      <c r="H395" s="107">
        <f>H396</f>
        <v>0</v>
      </c>
      <c r="I395" s="329" t="e">
        <f t="shared" si="22"/>
        <v>#DIV/0!</v>
      </c>
    </row>
    <row r="396" spans="1:9" ht="15" customHeight="1" hidden="1">
      <c r="A396" s="29" t="s">
        <v>142</v>
      </c>
      <c r="B396" s="32">
        <v>953</v>
      </c>
      <c r="C396" s="54" t="s">
        <v>130</v>
      </c>
      <c r="D396" s="54" t="s">
        <v>114</v>
      </c>
      <c r="E396" s="54" t="s">
        <v>539</v>
      </c>
      <c r="F396" s="54" t="s">
        <v>240</v>
      </c>
      <c r="G396" s="312">
        <f>H396</f>
        <v>0</v>
      </c>
      <c r="H396" s="107">
        <v>0</v>
      </c>
      <c r="I396" s="329" t="e">
        <f t="shared" si="22"/>
        <v>#DIV/0!</v>
      </c>
    </row>
    <row r="397" spans="1:9" ht="51" customHeight="1">
      <c r="A397" s="75" t="s">
        <v>650</v>
      </c>
      <c r="B397" s="97">
        <v>951</v>
      </c>
      <c r="C397" s="80" t="s">
        <v>130</v>
      </c>
      <c r="D397" s="80" t="s">
        <v>114</v>
      </c>
      <c r="E397" s="80" t="s">
        <v>651</v>
      </c>
      <c r="F397" s="80" t="s">
        <v>347</v>
      </c>
      <c r="G397" s="316">
        <f>G398</f>
        <v>513</v>
      </c>
      <c r="H397" s="316">
        <f>H398</f>
        <v>351.335</v>
      </c>
      <c r="I397" s="329">
        <f t="shared" si="22"/>
        <v>68.48635477582845</v>
      </c>
    </row>
    <row r="398" spans="1:9" ht="30" customHeight="1">
      <c r="A398" s="29" t="s">
        <v>151</v>
      </c>
      <c r="B398" s="32">
        <v>951</v>
      </c>
      <c r="C398" s="54" t="s">
        <v>130</v>
      </c>
      <c r="D398" s="54" t="s">
        <v>114</v>
      </c>
      <c r="E398" s="54" t="s">
        <v>651</v>
      </c>
      <c r="F398" s="54" t="s">
        <v>121</v>
      </c>
      <c r="G398" s="312">
        <f>G399</f>
        <v>513</v>
      </c>
      <c r="H398" s="312">
        <f>H399</f>
        <v>351.335</v>
      </c>
      <c r="I398" s="329">
        <f t="shared" si="22"/>
        <v>68.48635477582845</v>
      </c>
    </row>
    <row r="399" spans="1:9" ht="51" customHeight="1">
      <c r="A399" s="61" t="s">
        <v>152</v>
      </c>
      <c r="B399" s="32">
        <v>951</v>
      </c>
      <c r="C399" s="54" t="s">
        <v>130</v>
      </c>
      <c r="D399" s="54" t="s">
        <v>114</v>
      </c>
      <c r="E399" s="54" t="s">
        <v>651</v>
      </c>
      <c r="F399" s="54" t="s">
        <v>153</v>
      </c>
      <c r="G399" s="312">
        <v>513</v>
      </c>
      <c r="H399" s="107">
        <v>351.335</v>
      </c>
      <c r="I399" s="329">
        <f t="shared" si="22"/>
        <v>68.48635477582845</v>
      </c>
    </row>
    <row r="400" spans="1:9" ht="56.25" customHeight="1">
      <c r="A400" s="95" t="s">
        <v>657</v>
      </c>
      <c r="B400" s="32">
        <v>951</v>
      </c>
      <c r="C400" s="54" t="s">
        <v>130</v>
      </c>
      <c r="D400" s="54" t="s">
        <v>114</v>
      </c>
      <c r="E400" s="92" t="s">
        <v>85</v>
      </c>
      <c r="F400" s="92" t="s">
        <v>347</v>
      </c>
      <c r="G400" s="320">
        <f>G401+G404</f>
        <v>968.32079</v>
      </c>
      <c r="H400" s="320">
        <f>H401+H404</f>
        <v>832.079</v>
      </c>
      <c r="I400" s="329">
        <f t="shared" si="22"/>
        <v>85.93009760742615</v>
      </c>
    </row>
    <row r="401" spans="1:9" ht="81.75" customHeight="1">
      <c r="A401" s="76" t="s">
        <v>675</v>
      </c>
      <c r="B401" s="32">
        <v>951</v>
      </c>
      <c r="C401" s="54" t="s">
        <v>130</v>
      </c>
      <c r="D401" s="54" t="s">
        <v>114</v>
      </c>
      <c r="E401" s="80" t="s">
        <v>659</v>
      </c>
      <c r="F401" s="80" t="s">
        <v>347</v>
      </c>
      <c r="G401" s="316">
        <f>G402</f>
        <v>960</v>
      </c>
      <c r="H401" s="316">
        <f>H402</f>
        <v>823.75821</v>
      </c>
      <c r="I401" s="329">
        <f t="shared" si="22"/>
        <v>85.80814687499999</v>
      </c>
    </row>
    <row r="402" spans="1:9" ht="27.75" customHeight="1">
      <c r="A402" s="29" t="s">
        <v>151</v>
      </c>
      <c r="B402" s="32">
        <v>951</v>
      </c>
      <c r="C402" s="54" t="s">
        <v>130</v>
      </c>
      <c r="D402" s="54" t="s">
        <v>114</v>
      </c>
      <c r="E402" s="54" t="s">
        <v>659</v>
      </c>
      <c r="F402" s="54" t="s">
        <v>121</v>
      </c>
      <c r="G402" s="312">
        <f>G403</f>
        <v>960</v>
      </c>
      <c r="H402" s="312">
        <f>H403</f>
        <v>823.75821</v>
      </c>
      <c r="I402" s="329">
        <f t="shared" si="22"/>
        <v>85.80814687499999</v>
      </c>
    </row>
    <row r="403" spans="1:9" ht="52.5" customHeight="1">
      <c r="A403" s="61" t="s">
        <v>152</v>
      </c>
      <c r="B403" s="32">
        <v>951</v>
      </c>
      <c r="C403" s="54" t="s">
        <v>130</v>
      </c>
      <c r="D403" s="54" t="s">
        <v>114</v>
      </c>
      <c r="E403" s="54" t="s">
        <v>659</v>
      </c>
      <c r="F403" s="54" t="s">
        <v>153</v>
      </c>
      <c r="G403" s="312">
        <v>960</v>
      </c>
      <c r="H403" s="312">
        <v>823.75821</v>
      </c>
      <c r="I403" s="329">
        <f t="shared" si="22"/>
        <v>85.80814687499999</v>
      </c>
    </row>
    <row r="404" spans="1:9" ht="121.5" customHeight="1">
      <c r="A404" s="75" t="s">
        <v>660</v>
      </c>
      <c r="B404" s="32">
        <v>951</v>
      </c>
      <c r="C404" s="54" t="s">
        <v>130</v>
      </c>
      <c r="D404" s="54" t="s">
        <v>114</v>
      </c>
      <c r="E404" s="80" t="s">
        <v>661</v>
      </c>
      <c r="F404" s="80" t="s">
        <v>347</v>
      </c>
      <c r="G404" s="316">
        <f>G405</f>
        <v>8.32079</v>
      </c>
      <c r="H404" s="316">
        <f>H405</f>
        <v>8.32079</v>
      </c>
      <c r="I404" s="329">
        <f t="shared" si="22"/>
        <v>100</v>
      </c>
    </row>
    <row r="405" spans="1:9" ht="30" customHeight="1">
      <c r="A405" s="29" t="s">
        <v>151</v>
      </c>
      <c r="B405" s="32">
        <v>951</v>
      </c>
      <c r="C405" s="54" t="s">
        <v>130</v>
      </c>
      <c r="D405" s="54" t="s">
        <v>114</v>
      </c>
      <c r="E405" s="54" t="s">
        <v>661</v>
      </c>
      <c r="F405" s="54" t="s">
        <v>121</v>
      </c>
      <c r="G405" s="312">
        <f>G406</f>
        <v>8.32079</v>
      </c>
      <c r="H405" s="312">
        <f>H406</f>
        <v>8.32079</v>
      </c>
      <c r="I405" s="329">
        <f t="shared" si="22"/>
        <v>100</v>
      </c>
    </row>
    <row r="406" spans="1:9" ht="47.25" customHeight="1">
      <c r="A406" s="61" t="s">
        <v>152</v>
      </c>
      <c r="B406" s="32">
        <v>951</v>
      </c>
      <c r="C406" s="54" t="s">
        <v>130</v>
      </c>
      <c r="D406" s="54" t="s">
        <v>114</v>
      </c>
      <c r="E406" s="54" t="s">
        <v>661</v>
      </c>
      <c r="F406" s="54" t="s">
        <v>153</v>
      </c>
      <c r="G406" s="312">
        <v>8.32079</v>
      </c>
      <c r="H406" s="312">
        <v>8.32079</v>
      </c>
      <c r="I406" s="329">
        <f t="shared" si="22"/>
        <v>100</v>
      </c>
    </row>
    <row r="407" spans="1:9" ht="31.5" customHeight="1">
      <c r="A407" s="353" t="s">
        <v>186</v>
      </c>
      <c r="B407" s="354">
        <v>951</v>
      </c>
      <c r="C407" s="302" t="s">
        <v>132</v>
      </c>
      <c r="D407" s="302" t="s">
        <v>113</v>
      </c>
      <c r="E407" s="302" t="s">
        <v>262</v>
      </c>
      <c r="F407" s="302" t="s">
        <v>347</v>
      </c>
      <c r="G407" s="337">
        <f aca="true" t="shared" si="23" ref="G407:H411">G408</f>
        <v>1200</v>
      </c>
      <c r="H407" s="338">
        <f t="shared" si="23"/>
        <v>1120.84884</v>
      </c>
      <c r="I407" s="336">
        <f t="shared" si="22"/>
        <v>93.40407</v>
      </c>
    </row>
    <row r="408" spans="1:9" ht="75">
      <c r="A408" s="75" t="s">
        <v>465</v>
      </c>
      <c r="B408" s="104">
        <v>951</v>
      </c>
      <c r="C408" s="54" t="s">
        <v>132</v>
      </c>
      <c r="D408" s="54" t="s">
        <v>112</v>
      </c>
      <c r="E408" s="54" t="s">
        <v>262</v>
      </c>
      <c r="F408" s="54" t="s">
        <v>347</v>
      </c>
      <c r="G408" s="107">
        <f t="shared" si="23"/>
        <v>1200</v>
      </c>
      <c r="H408" s="107">
        <f t="shared" si="23"/>
        <v>1120.84884</v>
      </c>
      <c r="I408" s="329">
        <f t="shared" si="22"/>
        <v>93.40407</v>
      </c>
    </row>
    <row r="409" spans="1:9" ht="30">
      <c r="A409" s="29" t="s">
        <v>293</v>
      </c>
      <c r="B409" s="104">
        <v>951</v>
      </c>
      <c r="C409" s="54" t="s">
        <v>132</v>
      </c>
      <c r="D409" s="54" t="s">
        <v>112</v>
      </c>
      <c r="E409" s="54" t="s">
        <v>449</v>
      </c>
      <c r="F409" s="54" t="s">
        <v>347</v>
      </c>
      <c r="G409" s="107">
        <f t="shared" si="23"/>
        <v>1200</v>
      </c>
      <c r="H409" s="107">
        <f t="shared" si="23"/>
        <v>1120.84884</v>
      </c>
      <c r="I409" s="329">
        <f t="shared" si="22"/>
        <v>93.40407</v>
      </c>
    </row>
    <row r="410" spans="1:9" ht="30">
      <c r="A410" s="29" t="s">
        <v>187</v>
      </c>
      <c r="B410" s="104">
        <v>951</v>
      </c>
      <c r="C410" s="54" t="s">
        <v>132</v>
      </c>
      <c r="D410" s="54" t="s">
        <v>112</v>
      </c>
      <c r="E410" s="54" t="s">
        <v>449</v>
      </c>
      <c r="F410" s="54" t="s">
        <v>347</v>
      </c>
      <c r="G410" s="107">
        <f t="shared" si="23"/>
        <v>1200</v>
      </c>
      <c r="H410" s="107">
        <f t="shared" si="23"/>
        <v>1120.84884</v>
      </c>
      <c r="I410" s="329">
        <f t="shared" si="22"/>
        <v>93.40407</v>
      </c>
    </row>
    <row r="411" spans="1:9" ht="30">
      <c r="A411" s="29" t="s">
        <v>170</v>
      </c>
      <c r="B411" s="104">
        <v>951</v>
      </c>
      <c r="C411" s="54" t="s">
        <v>132</v>
      </c>
      <c r="D411" s="54" t="s">
        <v>112</v>
      </c>
      <c r="E411" s="54" t="s">
        <v>449</v>
      </c>
      <c r="F411" s="54" t="s">
        <v>171</v>
      </c>
      <c r="G411" s="107">
        <f t="shared" si="23"/>
        <v>1200</v>
      </c>
      <c r="H411" s="107">
        <f t="shared" si="23"/>
        <v>1120.84884</v>
      </c>
      <c r="I411" s="329">
        <f t="shared" si="22"/>
        <v>93.40407</v>
      </c>
    </row>
    <row r="412" spans="1:9" ht="15">
      <c r="A412" s="29" t="s">
        <v>188</v>
      </c>
      <c r="B412" s="104">
        <v>951</v>
      </c>
      <c r="C412" s="54" t="s">
        <v>132</v>
      </c>
      <c r="D412" s="54" t="s">
        <v>112</v>
      </c>
      <c r="E412" s="54" t="s">
        <v>449</v>
      </c>
      <c r="F412" s="54" t="s">
        <v>273</v>
      </c>
      <c r="G412" s="107">
        <v>1200</v>
      </c>
      <c r="H412" s="318">
        <v>1120.84884</v>
      </c>
      <c r="I412" s="329">
        <f t="shared" si="22"/>
        <v>93.40407</v>
      </c>
    </row>
    <row r="413" spans="1:9" ht="30" customHeight="1">
      <c r="A413" s="373" t="s">
        <v>335</v>
      </c>
      <c r="B413" s="374" t="s">
        <v>348</v>
      </c>
      <c r="C413" s="374" t="s">
        <v>113</v>
      </c>
      <c r="D413" s="374" t="s">
        <v>113</v>
      </c>
      <c r="E413" s="374" t="s">
        <v>262</v>
      </c>
      <c r="F413" s="374" t="s">
        <v>347</v>
      </c>
      <c r="G413" s="375">
        <f aca="true" t="shared" si="24" ref="G413:H415">G414</f>
        <v>4049.8</v>
      </c>
      <c r="H413" s="375">
        <f t="shared" si="24"/>
        <v>4026.0018</v>
      </c>
      <c r="I413" s="376">
        <f t="shared" si="22"/>
        <v>99.41236110425206</v>
      </c>
    </row>
    <row r="414" spans="1:9" ht="60">
      <c r="A414" s="29" t="s">
        <v>118</v>
      </c>
      <c r="B414" s="104" t="s">
        <v>348</v>
      </c>
      <c r="C414" s="54" t="s">
        <v>112</v>
      </c>
      <c r="D414" s="54" t="s">
        <v>119</v>
      </c>
      <c r="E414" s="54" t="s">
        <v>262</v>
      </c>
      <c r="F414" s="54" t="s">
        <v>347</v>
      </c>
      <c r="G414" s="107">
        <f t="shared" si="24"/>
        <v>4049.8</v>
      </c>
      <c r="H414" s="107">
        <f t="shared" si="24"/>
        <v>4026.0018</v>
      </c>
      <c r="I414" s="329">
        <f t="shared" si="22"/>
        <v>99.41236110425206</v>
      </c>
    </row>
    <row r="415" spans="1:9" ht="30">
      <c r="A415" s="29" t="s">
        <v>115</v>
      </c>
      <c r="B415" s="104" t="s">
        <v>348</v>
      </c>
      <c r="C415" s="54" t="s">
        <v>112</v>
      </c>
      <c r="D415" s="54" t="s">
        <v>119</v>
      </c>
      <c r="E415" s="54" t="s">
        <v>7</v>
      </c>
      <c r="F415" s="54" t="s">
        <v>347</v>
      </c>
      <c r="G415" s="107">
        <f t="shared" si="24"/>
        <v>4049.8</v>
      </c>
      <c r="H415" s="107">
        <f t="shared" si="24"/>
        <v>4026.0018</v>
      </c>
      <c r="I415" s="329">
        <f t="shared" si="22"/>
        <v>99.41236110425206</v>
      </c>
    </row>
    <row r="416" spans="1:9" ht="45">
      <c r="A416" s="29" t="s">
        <v>116</v>
      </c>
      <c r="B416" s="104" t="s">
        <v>348</v>
      </c>
      <c r="C416" s="54" t="s">
        <v>112</v>
      </c>
      <c r="D416" s="54" t="s">
        <v>119</v>
      </c>
      <c r="E416" s="54" t="s">
        <v>8</v>
      </c>
      <c r="F416" s="54" t="s">
        <v>347</v>
      </c>
      <c r="G416" s="107">
        <f>G417+G420</f>
        <v>4049.8</v>
      </c>
      <c r="H416" s="107">
        <f>H417+H420</f>
        <v>4026.0018</v>
      </c>
      <c r="I416" s="329">
        <f t="shared" si="22"/>
        <v>99.41236110425206</v>
      </c>
    </row>
    <row r="417" spans="1:9" ht="30">
      <c r="A417" s="29" t="s">
        <v>144</v>
      </c>
      <c r="B417" s="104" t="s">
        <v>348</v>
      </c>
      <c r="C417" s="54" t="s">
        <v>112</v>
      </c>
      <c r="D417" s="54" t="s">
        <v>119</v>
      </c>
      <c r="E417" s="54" t="s">
        <v>10</v>
      </c>
      <c r="F417" s="54" t="s">
        <v>347</v>
      </c>
      <c r="G417" s="107">
        <f>G418</f>
        <v>1914.5</v>
      </c>
      <c r="H417" s="107">
        <f>H418</f>
        <v>1910.54753</v>
      </c>
      <c r="I417" s="329">
        <f t="shared" si="22"/>
        <v>99.79355079655264</v>
      </c>
    </row>
    <row r="418" spans="1:9" ht="94.5" customHeight="1">
      <c r="A418" s="29" t="s">
        <v>148</v>
      </c>
      <c r="B418" s="104" t="s">
        <v>348</v>
      </c>
      <c r="C418" s="54" t="s">
        <v>112</v>
      </c>
      <c r="D418" s="54" t="s">
        <v>119</v>
      </c>
      <c r="E418" s="54" t="s">
        <v>10</v>
      </c>
      <c r="F418" s="54" t="s">
        <v>117</v>
      </c>
      <c r="G418" s="107">
        <f>G419</f>
        <v>1914.5</v>
      </c>
      <c r="H418" s="107">
        <f>H419</f>
        <v>1910.54753</v>
      </c>
      <c r="I418" s="329">
        <f t="shared" si="22"/>
        <v>99.79355079655264</v>
      </c>
    </row>
    <row r="419" spans="1:9" ht="33" customHeight="1">
      <c r="A419" s="29" t="s">
        <v>150</v>
      </c>
      <c r="B419" s="104" t="s">
        <v>348</v>
      </c>
      <c r="C419" s="54" t="s">
        <v>112</v>
      </c>
      <c r="D419" s="54" t="s">
        <v>119</v>
      </c>
      <c r="E419" s="54" t="s">
        <v>10</v>
      </c>
      <c r="F419" s="54" t="s">
        <v>149</v>
      </c>
      <c r="G419" s="107">
        <v>1914.5</v>
      </c>
      <c r="H419" s="318">
        <v>1910.54753</v>
      </c>
      <c r="I419" s="329">
        <f t="shared" si="22"/>
        <v>99.79355079655264</v>
      </c>
    </row>
    <row r="420" spans="1:9" ht="45" customHeight="1">
      <c r="A420" s="29" t="s">
        <v>120</v>
      </c>
      <c r="B420" s="104" t="s">
        <v>348</v>
      </c>
      <c r="C420" s="54" t="s">
        <v>112</v>
      </c>
      <c r="D420" s="54" t="s">
        <v>119</v>
      </c>
      <c r="E420" s="54" t="s">
        <v>11</v>
      </c>
      <c r="F420" s="54" t="s">
        <v>347</v>
      </c>
      <c r="G420" s="107">
        <f>G421+G423+G425</f>
        <v>2135.3</v>
      </c>
      <c r="H420" s="107">
        <f>H421+H423+H425</f>
        <v>2115.4542699999997</v>
      </c>
      <c r="I420" s="329">
        <f t="shared" si="22"/>
        <v>99.07058820774596</v>
      </c>
    </row>
    <row r="421" spans="1:9" ht="95.25" customHeight="1">
      <c r="A421" s="29" t="s">
        <v>148</v>
      </c>
      <c r="B421" s="104" t="s">
        <v>348</v>
      </c>
      <c r="C421" s="54" t="s">
        <v>112</v>
      </c>
      <c r="D421" s="54" t="s">
        <v>119</v>
      </c>
      <c r="E421" s="54" t="s">
        <v>11</v>
      </c>
      <c r="F421" s="54" t="s">
        <v>117</v>
      </c>
      <c r="G421" s="107">
        <f>G422</f>
        <v>1561.4</v>
      </c>
      <c r="H421" s="107">
        <f>H422</f>
        <v>1547.99464</v>
      </c>
      <c r="I421" s="329">
        <f t="shared" si="22"/>
        <v>99.14145254258997</v>
      </c>
    </row>
    <row r="422" spans="1:9" ht="31.5" customHeight="1">
      <c r="A422" s="29" t="s">
        <v>150</v>
      </c>
      <c r="B422" s="104" t="s">
        <v>348</v>
      </c>
      <c r="C422" s="54" t="s">
        <v>112</v>
      </c>
      <c r="D422" s="54" t="s">
        <v>119</v>
      </c>
      <c r="E422" s="54" t="s">
        <v>11</v>
      </c>
      <c r="F422" s="54" t="s">
        <v>149</v>
      </c>
      <c r="G422" s="107">
        <v>1561.4</v>
      </c>
      <c r="H422" s="107">
        <v>1547.99464</v>
      </c>
      <c r="I422" s="329">
        <f aca="true" t="shared" si="25" ref="I422:I436">H422/G422*100</f>
        <v>99.14145254258997</v>
      </c>
    </row>
    <row r="423" spans="1:9" ht="30">
      <c r="A423" s="29" t="s">
        <v>151</v>
      </c>
      <c r="B423" s="104" t="s">
        <v>348</v>
      </c>
      <c r="C423" s="54" t="s">
        <v>112</v>
      </c>
      <c r="D423" s="54" t="s">
        <v>119</v>
      </c>
      <c r="E423" s="54" t="s">
        <v>11</v>
      </c>
      <c r="F423" s="54" t="s">
        <v>121</v>
      </c>
      <c r="G423" s="107">
        <f>G424</f>
        <v>568.9</v>
      </c>
      <c r="H423" s="107">
        <f>H424</f>
        <v>566.85803</v>
      </c>
      <c r="I423" s="329">
        <f t="shared" si="25"/>
        <v>99.64106697134821</v>
      </c>
    </row>
    <row r="424" spans="1:9" ht="45">
      <c r="A424" s="29" t="s">
        <v>152</v>
      </c>
      <c r="B424" s="104" t="s">
        <v>348</v>
      </c>
      <c r="C424" s="54" t="s">
        <v>112</v>
      </c>
      <c r="D424" s="54" t="s">
        <v>119</v>
      </c>
      <c r="E424" s="54" t="s">
        <v>11</v>
      </c>
      <c r="F424" s="54" t="s">
        <v>153</v>
      </c>
      <c r="G424" s="107">
        <v>568.9</v>
      </c>
      <c r="H424" s="107">
        <v>566.85803</v>
      </c>
      <c r="I424" s="329">
        <f t="shared" si="25"/>
        <v>99.64106697134821</v>
      </c>
    </row>
    <row r="425" spans="1:9" ht="15">
      <c r="A425" s="29" t="s">
        <v>156</v>
      </c>
      <c r="B425" s="32" t="s">
        <v>348</v>
      </c>
      <c r="C425" s="54" t="s">
        <v>112</v>
      </c>
      <c r="D425" s="54" t="s">
        <v>119</v>
      </c>
      <c r="E425" s="54" t="s">
        <v>11</v>
      </c>
      <c r="F425" s="54" t="s">
        <v>157</v>
      </c>
      <c r="G425" s="312">
        <f>G426</f>
        <v>5</v>
      </c>
      <c r="H425" s="312">
        <f>H426</f>
        <v>0.6016</v>
      </c>
      <c r="I425" s="329">
        <f t="shared" si="25"/>
        <v>12.032000000000002</v>
      </c>
    </row>
    <row r="426" spans="1:9" ht="15">
      <c r="A426" s="29" t="s">
        <v>154</v>
      </c>
      <c r="B426" s="32" t="s">
        <v>348</v>
      </c>
      <c r="C426" s="54" t="s">
        <v>112</v>
      </c>
      <c r="D426" s="54" t="s">
        <v>119</v>
      </c>
      <c r="E426" s="54" t="s">
        <v>11</v>
      </c>
      <c r="F426" s="54" t="s">
        <v>155</v>
      </c>
      <c r="G426" s="312">
        <v>5</v>
      </c>
      <c r="H426" s="107">
        <v>0.6016</v>
      </c>
      <c r="I426" s="329">
        <f t="shared" si="25"/>
        <v>12.032000000000002</v>
      </c>
    </row>
    <row r="427" spans="1:9" ht="45" customHeight="1">
      <c r="A427" s="373" t="s">
        <v>473</v>
      </c>
      <c r="B427" s="374" t="s">
        <v>351</v>
      </c>
      <c r="C427" s="374" t="s">
        <v>113</v>
      </c>
      <c r="D427" s="374" t="s">
        <v>113</v>
      </c>
      <c r="E427" s="374" t="s">
        <v>262</v>
      </c>
      <c r="F427" s="374" t="s">
        <v>347</v>
      </c>
      <c r="G427" s="375">
        <f>G428+G449+G440+G446</f>
        <v>29782.4003</v>
      </c>
      <c r="H427" s="375">
        <f>H428+H449+H440+H446</f>
        <v>29219.25731</v>
      </c>
      <c r="I427" s="376">
        <f t="shared" si="25"/>
        <v>98.10914169332416</v>
      </c>
    </row>
    <row r="428" spans="1:9" ht="45.75" customHeight="1">
      <c r="A428" s="345" t="s">
        <v>336</v>
      </c>
      <c r="B428" s="104" t="s">
        <v>351</v>
      </c>
      <c r="C428" s="54" t="s">
        <v>112</v>
      </c>
      <c r="D428" s="54" t="s">
        <v>125</v>
      </c>
      <c r="E428" s="54" t="s">
        <v>262</v>
      </c>
      <c r="F428" s="54" t="s">
        <v>347</v>
      </c>
      <c r="G428" s="107">
        <f>G429</f>
        <v>6116.98</v>
      </c>
      <c r="H428" s="107">
        <f>H429</f>
        <v>5553.83701</v>
      </c>
      <c r="I428" s="329">
        <f>H428/G428*100</f>
        <v>90.79377421538081</v>
      </c>
    </row>
    <row r="429" spans="1:9" ht="42.75" customHeight="1">
      <c r="A429" s="345" t="s">
        <v>116</v>
      </c>
      <c r="B429" s="104" t="s">
        <v>351</v>
      </c>
      <c r="C429" s="54" t="s">
        <v>112</v>
      </c>
      <c r="D429" s="54" t="s">
        <v>125</v>
      </c>
      <c r="E429" s="54" t="s">
        <v>7</v>
      </c>
      <c r="F429" s="54" t="s">
        <v>347</v>
      </c>
      <c r="G429" s="107">
        <f>G430</f>
        <v>6116.98</v>
      </c>
      <c r="H429" s="107">
        <f>H430</f>
        <v>5553.83701</v>
      </c>
      <c r="I429" s="329">
        <f t="shared" si="25"/>
        <v>90.79377421538081</v>
      </c>
    </row>
    <row r="430" spans="1:9" ht="45">
      <c r="A430" s="29" t="s">
        <v>243</v>
      </c>
      <c r="B430" s="104" t="s">
        <v>351</v>
      </c>
      <c r="C430" s="54" t="s">
        <v>112</v>
      </c>
      <c r="D430" s="54" t="s">
        <v>125</v>
      </c>
      <c r="E430" s="54" t="s">
        <v>8</v>
      </c>
      <c r="F430" s="54" t="s">
        <v>347</v>
      </c>
      <c r="G430" s="107">
        <f>G431+G433+G435</f>
        <v>6116.98</v>
      </c>
      <c r="H430" s="107">
        <f>H431+H433+H435</f>
        <v>5553.83701</v>
      </c>
      <c r="I430" s="329">
        <f t="shared" si="25"/>
        <v>90.79377421538081</v>
      </c>
    </row>
    <row r="431" spans="1:9" ht="81.75" customHeight="1">
      <c r="A431" s="29" t="s">
        <v>148</v>
      </c>
      <c r="B431" s="104" t="s">
        <v>351</v>
      </c>
      <c r="C431" s="54" t="s">
        <v>112</v>
      </c>
      <c r="D431" s="54" t="s">
        <v>125</v>
      </c>
      <c r="E431" s="54" t="s">
        <v>11</v>
      </c>
      <c r="F431" s="54" t="s">
        <v>117</v>
      </c>
      <c r="G431" s="107">
        <f>G432</f>
        <v>5289.18</v>
      </c>
      <c r="H431" s="107">
        <f>H432</f>
        <v>4743.33337</v>
      </c>
      <c r="I431" s="329">
        <f t="shared" si="25"/>
        <v>89.6799384781762</v>
      </c>
    </row>
    <row r="432" spans="1:9" ht="30">
      <c r="A432" s="29" t="s">
        <v>150</v>
      </c>
      <c r="B432" s="104" t="s">
        <v>351</v>
      </c>
      <c r="C432" s="54" t="s">
        <v>112</v>
      </c>
      <c r="D432" s="54" t="s">
        <v>125</v>
      </c>
      <c r="E432" s="54" t="s">
        <v>11</v>
      </c>
      <c r="F432" s="54" t="s">
        <v>149</v>
      </c>
      <c r="G432" s="107">
        <v>5289.18</v>
      </c>
      <c r="H432" s="107">
        <v>4743.33337</v>
      </c>
      <c r="I432" s="329">
        <f t="shared" si="25"/>
        <v>89.6799384781762</v>
      </c>
    </row>
    <row r="433" spans="1:9" ht="30">
      <c r="A433" s="29" t="s">
        <v>151</v>
      </c>
      <c r="B433" s="104" t="s">
        <v>351</v>
      </c>
      <c r="C433" s="54" t="s">
        <v>112</v>
      </c>
      <c r="D433" s="54" t="s">
        <v>125</v>
      </c>
      <c r="E433" s="54" t="s">
        <v>11</v>
      </c>
      <c r="F433" s="54" t="s">
        <v>121</v>
      </c>
      <c r="G433" s="107">
        <f>G434</f>
        <v>824.76506</v>
      </c>
      <c r="H433" s="107">
        <f>H434</f>
        <v>807.4687</v>
      </c>
      <c r="I433" s="329">
        <f t="shared" si="25"/>
        <v>97.90287430459288</v>
      </c>
    </row>
    <row r="434" spans="1:9" ht="45">
      <c r="A434" s="29" t="s">
        <v>152</v>
      </c>
      <c r="B434" s="104" t="s">
        <v>351</v>
      </c>
      <c r="C434" s="54" t="s">
        <v>112</v>
      </c>
      <c r="D434" s="54" t="s">
        <v>125</v>
      </c>
      <c r="E434" s="54" t="s">
        <v>11</v>
      </c>
      <c r="F434" s="54" t="s">
        <v>153</v>
      </c>
      <c r="G434" s="107">
        <v>824.76506</v>
      </c>
      <c r="H434" s="107">
        <v>807.4687</v>
      </c>
      <c r="I434" s="329">
        <f t="shared" si="25"/>
        <v>97.90287430459288</v>
      </c>
    </row>
    <row r="435" spans="1:9" ht="15">
      <c r="A435" s="29" t="s">
        <v>156</v>
      </c>
      <c r="B435" s="104" t="s">
        <v>351</v>
      </c>
      <c r="C435" s="54" t="s">
        <v>112</v>
      </c>
      <c r="D435" s="54" t="s">
        <v>125</v>
      </c>
      <c r="E435" s="54" t="s">
        <v>11</v>
      </c>
      <c r="F435" s="54" t="s">
        <v>157</v>
      </c>
      <c r="G435" s="107">
        <f>G436</f>
        <v>3.03494</v>
      </c>
      <c r="H435" s="107">
        <f>H436</f>
        <v>3.03494</v>
      </c>
      <c r="I435" s="329">
        <f t="shared" si="25"/>
        <v>100</v>
      </c>
    </row>
    <row r="436" spans="1:9" ht="15">
      <c r="A436" s="29" t="s">
        <v>154</v>
      </c>
      <c r="B436" s="104" t="s">
        <v>351</v>
      </c>
      <c r="C436" s="54" t="s">
        <v>112</v>
      </c>
      <c r="D436" s="54" t="s">
        <v>125</v>
      </c>
      <c r="E436" s="54" t="s">
        <v>11</v>
      </c>
      <c r="F436" s="54" t="s">
        <v>155</v>
      </c>
      <c r="G436" s="107">
        <v>3.03494</v>
      </c>
      <c r="H436" s="107">
        <v>3.03494</v>
      </c>
      <c r="I436" s="329">
        <f t="shared" si="25"/>
        <v>100</v>
      </c>
    </row>
    <row r="437" spans="1:9" ht="15" hidden="1">
      <c r="A437" s="29" t="s">
        <v>160</v>
      </c>
      <c r="B437" s="104" t="s">
        <v>351</v>
      </c>
      <c r="C437" s="54" t="s">
        <v>112</v>
      </c>
      <c r="D437" s="54" t="s">
        <v>125</v>
      </c>
      <c r="E437" s="54" t="s">
        <v>264</v>
      </c>
      <c r="F437" s="54" t="s">
        <v>347</v>
      </c>
      <c r="G437" s="107">
        <f>H437+I437</f>
        <v>0</v>
      </c>
      <c r="H437" s="318">
        <f>H438</f>
        <v>0</v>
      </c>
      <c r="I437" s="331">
        <f>I438</f>
        <v>0</v>
      </c>
    </row>
    <row r="438" spans="1:9" ht="15" hidden="1">
      <c r="A438" s="29" t="s">
        <v>156</v>
      </c>
      <c r="B438" s="104" t="s">
        <v>351</v>
      </c>
      <c r="C438" s="54" t="s">
        <v>112</v>
      </c>
      <c r="D438" s="54" t="s">
        <v>125</v>
      </c>
      <c r="E438" s="54" t="s">
        <v>264</v>
      </c>
      <c r="F438" s="54" t="s">
        <v>157</v>
      </c>
      <c r="G438" s="107">
        <f>H438+I438</f>
        <v>0</v>
      </c>
      <c r="H438" s="318">
        <f>H439</f>
        <v>0</v>
      </c>
      <c r="I438" s="331">
        <f>I439</f>
        <v>0</v>
      </c>
    </row>
    <row r="439" spans="1:9" ht="15" hidden="1">
      <c r="A439" s="29" t="s">
        <v>160</v>
      </c>
      <c r="B439" s="104" t="s">
        <v>351</v>
      </c>
      <c r="C439" s="54" t="s">
        <v>112</v>
      </c>
      <c r="D439" s="54" t="s">
        <v>125</v>
      </c>
      <c r="E439" s="54" t="s">
        <v>264</v>
      </c>
      <c r="F439" s="54" t="s">
        <v>161</v>
      </c>
      <c r="G439" s="107">
        <f>H439+I439</f>
        <v>0</v>
      </c>
      <c r="H439" s="318"/>
      <c r="I439" s="331"/>
    </row>
    <row r="440" spans="1:9" ht="30">
      <c r="A440" s="76" t="s">
        <v>430</v>
      </c>
      <c r="B440" s="97" t="s">
        <v>351</v>
      </c>
      <c r="C440" s="80" t="s">
        <v>112</v>
      </c>
      <c r="D440" s="80" t="s">
        <v>329</v>
      </c>
      <c r="E440" s="80" t="s">
        <v>262</v>
      </c>
      <c r="F440" s="80" t="s">
        <v>347</v>
      </c>
      <c r="G440" s="115">
        <f aca="true" t="shared" si="26" ref="G440:H444">G441</f>
        <v>2722.12075</v>
      </c>
      <c r="H440" s="115">
        <f t="shared" si="26"/>
        <v>2722.12075</v>
      </c>
      <c r="I440" s="329">
        <f aca="true" t="shared" si="27" ref="I440:I503">H440/G440*100</f>
        <v>100</v>
      </c>
    </row>
    <row r="441" spans="1:9" ht="30">
      <c r="A441" s="29" t="s">
        <v>431</v>
      </c>
      <c r="B441" s="104" t="s">
        <v>351</v>
      </c>
      <c r="C441" s="54" t="s">
        <v>112</v>
      </c>
      <c r="D441" s="54" t="s">
        <v>329</v>
      </c>
      <c r="E441" s="54" t="s">
        <v>7</v>
      </c>
      <c r="F441" s="54" t="s">
        <v>347</v>
      </c>
      <c r="G441" s="107">
        <f t="shared" si="26"/>
        <v>2722.12075</v>
      </c>
      <c r="H441" s="107">
        <f t="shared" si="26"/>
        <v>2722.12075</v>
      </c>
      <c r="I441" s="329">
        <f t="shared" si="27"/>
        <v>100</v>
      </c>
    </row>
    <row r="442" spans="1:9" ht="45">
      <c r="A442" s="29" t="s">
        <v>116</v>
      </c>
      <c r="B442" s="104" t="s">
        <v>351</v>
      </c>
      <c r="C442" s="54" t="s">
        <v>112</v>
      </c>
      <c r="D442" s="54" t="s">
        <v>329</v>
      </c>
      <c r="E442" s="54" t="s">
        <v>8</v>
      </c>
      <c r="F442" s="54" t="s">
        <v>347</v>
      </c>
      <c r="G442" s="107">
        <f t="shared" si="26"/>
        <v>2722.12075</v>
      </c>
      <c r="H442" s="107">
        <f t="shared" si="26"/>
        <v>2722.12075</v>
      </c>
      <c r="I442" s="329">
        <f t="shared" si="27"/>
        <v>100</v>
      </c>
    </row>
    <row r="443" spans="1:9" ht="30">
      <c r="A443" s="29" t="s">
        <v>432</v>
      </c>
      <c r="B443" s="104" t="s">
        <v>351</v>
      </c>
      <c r="C443" s="54" t="s">
        <v>112</v>
      </c>
      <c r="D443" s="54" t="s">
        <v>329</v>
      </c>
      <c r="E443" s="54" t="s">
        <v>433</v>
      </c>
      <c r="F443" s="54" t="s">
        <v>347</v>
      </c>
      <c r="G443" s="107">
        <f t="shared" si="26"/>
        <v>2722.12075</v>
      </c>
      <c r="H443" s="107">
        <f t="shared" si="26"/>
        <v>2722.12075</v>
      </c>
      <c r="I443" s="329">
        <f t="shared" si="27"/>
        <v>100</v>
      </c>
    </row>
    <row r="444" spans="1:9" ht="15">
      <c r="A444" s="29" t="s">
        <v>156</v>
      </c>
      <c r="B444" s="104" t="s">
        <v>351</v>
      </c>
      <c r="C444" s="54" t="s">
        <v>112</v>
      </c>
      <c r="D444" s="54" t="s">
        <v>329</v>
      </c>
      <c r="E444" s="54" t="s">
        <v>433</v>
      </c>
      <c r="F444" s="54" t="s">
        <v>157</v>
      </c>
      <c r="G444" s="107">
        <f t="shared" si="26"/>
        <v>2722.12075</v>
      </c>
      <c r="H444" s="107">
        <f t="shared" si="26"/>
        <v>2722.12075</v>
      </c>
      <c r="I444" s="329">
        <f t="shared" si="27"/>
        <v>100</v>
      </c>
    </row>
    <row r="445" spans="1:9" ht="15">
      <c r="A445" s="55" t="s">
        <v>538</v>
      </c>
      <c r="B445" s="104" t="s">
        <v>351</v>
      </c>
      <c r="C445" s="54" t="s">
        <v>112</v>
      </c>
      <c r="D445" s="54" t="s">
        <v>329</v>
      </c>
      <c r="E445" s="54" t="s">
        <v>433</v>
      </c>
      <c r="F445" s="54" t="s">
        <v>537</v>
      </c>
      <c r="G445" s="107">
        <v>2722.12075</v>
      </c>
      <c r="H445" s="107">
        <v>2722.12075</v>
      </c>
      <c r="I445" s="329">
        <f t="shared" si="27"/>
        <v>100</v>
      </c>
    </row>
    <row r="446" spans="1:9" ht="15">
      <c r="A446" s="75" t="s">
        <v>160</v>
      </c>
      <c r="B446" s="97" t="s">
        <v>351</v>
      </c>
      <c r="C446" s="80" t="s">
        <v>112</v>
      </c>
      <c r="D446" s="80" t="s">
        <v>132</v>
      </c>
      <c r="E446" s="80" t="s">
        <v>17</v>
      </c>
      <c r="F446" s="80" t="s">
        <v>347</v>
      </c>
      <c r="G446" s="115">
        <f>G447</f>
        <v>2</v>
      </c>
      <c r="H446" s="115">
        <f>H447</f>
        <v>2</v>
      </c>
      <c r="I446" s="329">
        <f t="shared" si="27"/>
        <v>100</v>
      </c>
    </row>
    <row r="447" spans="1:9" ht="15">
      <c r="A447" s="29" t="s">
        <v>156</v>
      </c>
      <c r="B447" s="32" t="s">
        <v>351</v>
      </c>
      <c r="C447" s="54" t="s">
        <v>112</v>
      </c>
      <c r="D447" s="54" t="s">
        <v>132</v>
      </c>
      <c r="E447" s="54" t="s">
        <v>17</v>
      </c>
      <c r="F447" s="54" t="s">
        <v>157</v>
      </c>
      <c r="G447" s="107">
        <f>G448</f>
        <v>2</v>
      </c>
      <c r="H447" s="107">
        <f>H448</f>
        <v>2</v>
      </c>
      <c r="I447" s="329">
        <f t="shared" si="27"/>
        <v>100</v>
      </c>
    </row>
    <row r="448" spans="1:9" ht="15">
      <c r="A448" s="29" t="s">
        <v>160</v>
      </c>
      <c r="B448" s="32" t="s">
        <v>351</v>
      </c>
      <c r="C448" s="54" t="s">
        <v>112</v>
      </c>
      <c r="D448" s="54" t="s">
        <v>132</v>
      </c>
      <c r="E448" s="54" t="s">
        <v>17</v>
      </c>
      <c r="F448" s="54" t="s">
        <v>161</v>
      </c>
      <c r="G448" s="107">
        <v>2</v>
      </c>
      <c r="H448" s="107">
        <v>2</v>
      </c>
      <c r="I448" s="329">
        <f t="shared" si="27"/>
        <v>100</v>
      </c>
    </row>
    <row r="449" spans="1:9" ht="75">
      <c r="A449" s="99" t="s">
        <v>465</v>
      </c>
      <c r="B449" s="347" t="s">
        <v>351</v>
      </c>
      <c r="C449" s="108" t="s">
        <v>190</v>
      </c>
      <c r="D449" s="108" t="s">
        <v>113</v>
      </c>
      <c r="E449" s="108" t="s">
        <v>454</v>
      </c>
      <c r="F449" s="108" t="s">
        <v>347</v>
      </c>
      <c r="G449" s="313">
        <f>G450+G459</f>
        <v>20941.29955</v>
      </c>
      <c r="H449" s="313">
        <f>H450+H459</f>
        <v>20941.29955</v>
      </c>
      <c r="I449" s="329">
        <f t="shared" si="27"/>
        <v>100</v>
      </c>
    </row>
    <row r="450" spans="1:9" ht="48" customHeight="1">
      <c r="A450" s="29" t="s">
        <v>191</v>
      </c>
      <c r="B450" s="104" t="s">
        <v>351</v>
      </c>
      <c r="C450" s="54" t="s">
        <v>190</v>
      </c>
      <c r="D450" s="54" t="s">
        <v>112</v>
      </c>
      <c r="E450" s="54" t="s">
        <v>454</v>
      </c>
      <c r="F450" s="54" t="s">
        <v>347</v>
      </c>
      <c r="G450" s="312">
        <f>G451+G455</f>
        <v>19877.351</v>
      </c>
      <c r="H450" s="312">
        <f>H451+H455</f>
        <v>19877.351</v>
      </c>
      <c r="I450" s="329">
        <f t="shared" si="27"/>
        <v>100</v>
      </c>
    </row>
    <row r="451" spans="1:9" ht="45">
      <c r="A451" s="75" t="s">
        <v>192</v>
      </c>
      <c r="B451" s="104" t="s">
        <v>351</v>
      </c>
      <c r="C451" s="80" t="s">
        <v>190</v>
      </c>
      <c r="D451" s="80" t="s">
        <v>112</v>
      </c>
      <c r="E451" s="80" t="s">
        <v>446</v>
      </c>
      <c r="F451" s="80" t="s">
        <v>347</v>
      </c>
      <c r="G451" s="316">
        <f aca="true" t="shared" si="28" ref="G451:H453">G452</f>
        <v>11501.934</v>
      </c>
      <c r="H451" s="316">
        <f t="shared" si="28"/>
        <v>11501.934</v>
      </c>
      <c r="I451" s="329">
        <f t="shared" si="27"/>
        <v>100</v>
      </c>
    </row>
    <row r="452" spans="1:9" ht="15">
      <c r="A452" s="29" t="s">
        <v>162</v>
      </c>
      <c r="B452" s="104" t="s">
        <v>351</v>
      </c>
      <c r="C452" s="54" t="s">
        <v>190</v>
      </c>
      <c r="D452" s="54" t="s">
        <v>112</v>
      </c>
      <c r="E452" s="54" t="s">
        <v>446</v>
      </c>
      <c r="F452" s="54" t="s">
        <v>347</v>
      </c>
      <c r="G452" s="312">
        <f t="shared" si="28"/>
        <v>11501.934</v>
      </c>
      <c r="H452" s="312">
        <f t="shared" si="28"/>
        <v>11501.934</v>
      </c>
      <c r="I452" s="329">
        <f t="shared" si="27"/>
        <v>100</v>
      </c>
    </row>
    <row r="453" spans="1:9" ht="90">
      <c r="A453" s="29" t="s">
        <v>276</v>
      </c>
      <c r="B453" s="104" t="s">
        <v>351</v>
      </c>
      <c r="C453" s="54" t="s">
        <v>190</v>
      </c>
      <c r="D453" s="54" t="s">
        <v>112</v>
      </c>
      <c r="E453" s="54" t="s">
        <v>446</v>
      </c>
      <c r="F453" s="54" t="s">
        <v>347</v>
      </c>
      <c r="G453" s="312">
        <f t="shared" si="28"/>
        <v>11501.934</v>
      </c>
      <c r="H453" s="312">
        <f t="shared" si="28"/>
        <v>11501.934</v>
      </c>
      <c r="I453" s="329">
        <f t="shared" si="27"/>
        <v>100</v>
      </c>
    </row>
    <row r="454" spans="1:9" ht="15">
      <c r="A454" s="29" t="s">
        <v>172</v>
      </c>
      <c r="B454" s="104" t="s">
        <v>351</v>
      </c>
      <c r="C454" s="54" t="s">
        <v>190</v>
      </c>
      <c r="D454" s="54" t="s">
        <v>112</v>
      </c>
      <c r="E454" s="54" t="s">
        <v>446</v>
      </c>
      <c r="F454" s="54" t="s">
        <v>173</v>
      </c>
      <c r="G454" s="312">
        <v>11501.934</v>
      </c>
      <c r="H454" s="312">
        <v>11501.934</v>
      </c>
      <c r="I454" s="329">
        <f t="shared" si="27"/>
        <v>100</v>
      </c>
    </row>
    <row r="455" spans="1:9" ht="45">
      <c r="A455" s="75" t="s">
        <v>255</v>
      </c>
      <c r="B455" s="104" t="s">
        <v>351</v>
      </c>
      <c r="C455" s="80" t="s">
        <v>190</v>
      </c>
      <c r="D455" s="80" t="s">
        <v>112</v>
      </c>
      <c r="E455" s="80" t="s">
        <v>447</v>
      </c>
      <c r="F455" s="80" t="s">
        <v>347</v>
      </c>
      <c r="G455" s="316">
        <f>G456</f>
        <v>8375.417</v>
      </c>
      <c r="H455" s="316">
        <f>H456</f>
        <v>8375.417</v>
      </c>
      <c r="I455" s="329">
        <f t="shared" si="27"/>
        <v>100</v>
      </c>
    </row>
    <row r="456" spans="1:9" ht="15">
      <c r="A456" s="29" t="s">
        <v>172</v>
      </c>
      <c r="B456" s="104" t="s">
        <v>351</v>
      </c>
      <c r="C456" s="54" t="s">
        <v>190</v>
      </c>
      <c r="D456" s="54" t="s">
        <v>112</v>
      </c>
      <c r="E456" s="54" t="s">
        <v>447</v>
      </c>
      <c r="F456" s="54" t="s">
        <v>173</v>
      </c>
      <c r="G456" s="312">
        <v>8375.417</v>
      </c>
      <c r="H456" s="312">
        <v>8375.417</v>
      </c>
      <c r="I456" s="329">
        <f t="shared" si="27"/>
        <v>100</v>
      </c>
    </row>
    <row r="457" spans="1:9" ht="45" hidden="1">
      <c r="A457" s="29" t="s">
        <v>255</v>
      </c>
      <c r="B457" s="104" t="s">
        <v>351</v>
      </c>
      <c r="C457" s="54" t="s">
        <v>190</v>
      </c>
      <c r="D457" s="54" t="s">
        <v>112</v>
      </c>
      <c r="E457" s="54" t="s">
        <v>17</v>
      </c>
      <c r="F457" s="54" t="s">
        <v>347</v>
      </c>
      <c r="G457" s="312">
        <f>H457</f>
        <v>0</v>
      </c>
      <c r="H457" s="107">
        <f>H458</f>
        <v>0</v>
      </c>
      <c r="I457" s="329" t="e">
        <f t="shared" si="27"/>
        <v>#DIV/0!</v>
      </c>
    </row>
    <row r="458" spans="1:9" ht="15" hidden="1">
      <c r="A458" s="29" t="s">
        <v>160</v>
      </c>
      <c r="B458" s="104" t="s">
        <v>351</v>
      </c>
      <c r="C458" s="54" t="s">
        <v>190</v>
      </c>
      <c r="D458" s="54" t="s">
        <v>112</v>
      </c>
      <c r="E458" s="54" t="s">
        <v>17</v>
      </c>
      <c r="F458" s="54" t="s">
        <v>173</v>
      </c>
      <c r="G458" s="312">
        <f>H458</f>
        <v>0</v>
      </c>
      <c r="H458" s="107"/>
      <c r="I458" s="329" t="e">
        <f t="shared" si="27"/>
        <v>#DIV/0!</v>
      </c>
    </row>
    <row r="459" spans="1:9" ht="30">
      <c r="A459" s="75" t="s">
        <v>284</v>
      </c>
      <c r="B459" s="104" t="s">
        <v>351</v>
      </c>
      <c r="C459" s="80" t="s">
        <v>190</v>
      </c>
      <c r="D459" s="80" t="s">
        <v>119</v>
      </c>
      <c r="E459" s="80" t="s">
        <v>454</v>
      </c>
      <c r="F459" s="80" t="s">
        <v>347</v>
      </c>
      <c r="G459" s="316">
        <f>G460</f>
        <v>1063.94855</v>
      </c>
      <c r="H459" s="115">
        <f>H460</f>
        <v>1063.94855</v>
      </c>
      <c r="I459" s="329">
        <f t="shared" si="27"/>
        <v>100</v>
      </c>
    </row>
    <row r="460" spans="1:9" ht="30">
      <c r="A460" s="29" t="s">
        <v>391</v>
      </c>
      <c r="B460" s="104" t="s">
        <v>351</v>
      </c>
      <c r="C460" s="54" t="s">
        <v>190</v>
      </c>
      <c r="D460" s="54" t="s">
        <v>119</v>
      </c>
      <c r="E460" s="54" t="s">
        <v>448</v>
      </c>
      <c r="F460" s="54" t="s">
        <v>347</v>
      </c>
      <c r="G460" s="312">
        <f>G461</f>
        <v>1063.94855</v>
      </c>
      <c r="H460" s="107">
        <f>H461</f>
        <v>1063.94855</v>
      </c>
      <c r="I460" s="329">
        <f t="shared" si="27"/>
        <v>100</v>
      </c>
    </row>
    <row r="461" spans="1:9" ht="16.5" customHeight="1">
      <c r="A461" s="29" t="s">
        <v>162</v>
      </c>
      <c r="B461" s="104" t="s">
        <v>351</v>
      </c>
      <c r="C461" s="54" t="s">
        <v>190</v>
      </c>
      <c r="D461" s="54" t="s">
        <v>119</v>
      </c>
      <c r="E461" s="54" t="s">
        <v>448</v>
      </c>
      <c r="F461" s="54" t="s">
        <v>163</v>
      </c>
      <c r="G461" s="312">
        <f>G462+G465+G466</f>
        <v>1063.94855</v>
      </c>
      <c r="H461" s="312">
        <f>H462+H465+H466</f>
        <v>1063.94855</v>
      </c>
      <c r="I461" s="329">
        <f t="shared" si="27"/>
        <v>100</v>
      </c>
    </row>
    <row r="462" spans="1:9" ht="17.25" customHeight="1">
      <c r="A462" s="29" t="s">
        <v>245</v>
      </c>
      <c r="B462" s="104" t="s">
        <v>351</v>
      </c>
      <c r="C462" s="54" t="s">
        <v>190</v>
      </c>
      <c r="D462" s="54" t="s">
        <v>119</v>
      </c>
      <c r="E462" s="54" t="s">
        <v>448</v>
      </c>
      <c r="F462" s="54" t="s">
        <v>390</v>
      </c>
      <c r="G462" s="312">
        <v>483.0593</v>
      </c>
      <c r="H462" s="312">
        <v>483.0593</v>
      </c>
      <c r="I462" s="329">
        <f t="shared" si="27"/>
        <v>100</v>
      </c>
    </row>
    <row r="463" spans="1:9" ht="15" hidden="1">
      <c r="A463" s="29" t="s">
        <v>162</v>
      </c>
      <c r="B463" s="104" t="s">
        <v>351</v>
      </c>
      <c r="C463" s="54" t="s">
        <v>190</v>
      </c>
      <c r="D463" s="54" t="s">
        <v>119</v>
      </c>
      <c r="E463" s="54" t="s">
        <v>437</v>
      </c>
      <c r="F463" s="54" t="s">
        <v>163</v>
      </c>
      <c r="G463" s="107">
        <f>H463</f>
        <v>0</v>
      </c>
      <c r="H463" s="107">
        <f>H464</f>
        <v>0</v>
      </c>
      <c r="I463" s="329" t="e">
        <f t="shared" si="27"/>
        <v>#DIV/0!</v>
      </c>
    </row>
    <row r="464" spans="1:9" ht="135" hidden="1">
      <c r="A464" s="29" t="s">
        <v>438</v>
      </c>
      <c r="B464" s="104" t="s">
        <v>351</v>
      </c>
      <c r="C464" s="54" t="s">
        <v>190</v>
      </c>
      <c r="D464" s="54" t="s">
        <v>119</v>
      </c>
      <c r="E464" s="54" t="s">
        <v>437</v>
      </c>
      <c r="F464" s="54" t="s">
        <v>390</v>
      </c>
      <c r="G464" s="107">
        <f>H464</f>
        <v>0</v>
      </c>
      <c r="H464" s="107"/>
      <c r="I464" s="329" t="e">
        <f t="shared" si="27"/>
        <v>#DIV/0!</v>
      </c>
    </row>
    <row r="465" spans="1:9" ht="75">
      <c r="A465" s="29" t="s">
        <v>662</v>
      </c>
      <c r="B465" s="104" t="s">
        <v>351</v>
      </c>
      <c r="C465" s="54" t="s">
        <v>190</v>
      </c>
      <c r="D465" s="54" t="s">
        <v>119</v>
      </c>
      <c r="E465" s="54" t="s">
        <v>663</v>
      </c>
      <c r="F465" s="54" t="s">
        <v>390</v>
      </c>
      <c r="G465" s="107">
        <v>82.988</v>
      </c>
      <c r="H465" s="107">
        <v>82.988</v>
      </c>
      <c r="I465" s="329">
        <f t="shared" si="27"/>
        <v>100</v>
      </c>
    </row>
    <row r="466" spans="1:9" ht="160.5" customHeight="1">
      <c r="A466" s="29" t="s">
        <v>664</v>
      </c>
      <c r="B466" s="104" t="s">
        <v>351</v>
      </c>
      <c r="C466" s="54" t="s">
        <v>190</v>
      </c>
      <c r="D466" s="54" t="s">
        <v>119</v>
      </c>
      <c r="E466" s="54" t="s">
        <v>665</v>
      </c>
      <c r="F466" s="54" t="s">
        <v>390</v>
      </c>
      <c r="G466" s="107">
        <v>497.90125</v>
      </c>
      <c r="H466" s="107">
        <v>497.90125</v>
      </c>
      <c r="I466" s="329">
        <f t="shared" si="27"/>
        <v>100</v>
      </c>
    </row>
    <row r="467" spans="1:12" ht="85.5">
      <c r="A467" s="373" t="s">
        <v>364</v>
      </c>
      <c r="B467" s="374" t="s">
        <v>350</v>
      </c>
      <c r="C467" s="374" t="s">
        <v>113</v>
      </c>
      <c r="D467" s="374" t="s">
        <v>113</v>
      </c>
      <c r="E467" s="374" t="s">
        <v>262</v>
      </c>
      <c r="F467" s="374" t="s">
        <v>347</v>
      </c>
      <c r="G467" s="375">
        <f>G468+G580+G596</f>
        <v>533582.8576799999</v>
      </c>
      <c r="H467" s="375">
        <f>H468+H580+H596</f>
        <v>494114.53673999995</v>
      </c>
      <c r="I467" s="376">
        <f t="shared" si="27"/>
        <v>92.60315050007287</v>
      </c>
      <c r="K467" s="53">
        <v>494114.53674</v>
      </c>
      <c r="L467" s="343">
        <f>K467-H467</f>
        <v>0</v>
      </c>
    </row>
    <row r="468" spans="1:9" ht="15">
      <c r="A468" s="355" t="s">
        <v>328</v>
      </c>
      <c r="B468" s="354" t="s">
        <v>350</v>
      </c>
      <c r="C468" s="302" t="s">
        <v>329</v>
      </c>
      <c r="D468" s="302" t="s">
        <v>113</v>
      </c>
      <c r="E468" s="302" t="s">
        <v>262</v>
      </c>
      <c r="F468" s="302" t="s">
        <v>347</v>
      </c>
      <c r="G468" s="338">
        <f>G469+G484+G521+G526+G531+G541+G547+G562+G570+G577</f>
        <v>527287.4308999999</v>
      </c>
      <c r="H468" s="338">
        <f>H469+H484+H521+H526+H531+H541+H547+H562+H570+H577</f>
        <v>488244.77809</v>
      </c>
      <c r="I468" s="336">
        <f t="shared" si="27"/>
        <v>92.59556543129428</v>
      </c>
    </row>
    <row r="469" spans="1:9" ht="15">
      <c r="A469" s="353" t="s">
        <v>338</v>
      </c>
      <c r="B469" s="354" t="s">
        <v>350</v>
      </c>
      <c r="C469" s="302" t="s">
        <v>329</v>
      </c>
      <c r="D469" s="302" t="s">
        <v>112</v>
      </c>
      <c r="E469" s="302" t="s">
        <v>262</v>
      </c>
      <c r="F469" s="302" t="s">
        <v>347</v>
      </c>
      <c r="G469" s="338">
        <f>G470</f>
        <v>118336.94755000001</v>
      </c>
      <c r="H469" s="338">
        <f>H470</f>
        <v>99307.00591</v>
      </c>
      <c r="I469" s="336">
        <f t="shared" si="27"/>
        <v>83.9188503388095</v>
      </c>
    </row>
    <row r="470" spans="1:9" ht="45">
      <c r="A470" s="75" t="s">
        <v>407</v>
      </c>
      <c r="B470" s="362" t="s">
        <v>350</v>
      </c>
      <c r="C470" s="80" t="s">
        <v>329</v>
      </c>
      <c r="D470" s="80" t="s">
        <v>112</v>
      </c>
      <c r="E470" s="80" t="s">
        <v>25</v>
      </c>
      <c r="F470" s="80" t="s">
        <v>347</v>
      </c>
      <c r="G470" s="115">
        <f>G471+G474+G477</f>
        <v>118336.94755000001</v>
      </c>
      <c r="H470" s="115">
        <f>H471+H474+H477</f>
        <v>99307.00591</v>
      </c>
      <c r="I470" s="329">
        <f t="shared" si="27"/>
        <v>83.9188503388095</v>
      </c>
    </row>
    <row r="471" spans="1:9" ht="45">
      <c r="A471" s="98" t="s">
        <v>209</v>
      </c>
      <c r="B471" s="104" t="s">
        <v>350</v>
      </c>
      <c r="C471" s="54" t="s">
        <v>329</v>
      </c>
      <c r="D471" s="54" t="s">
        <v>112</v>
      </c>
      <c r="E471" s="54" t="s">
        <v>38</v>
      </c>
      <c r="F471" s="54" t="s">
        <v>347</v>
      </c>
      <c r="G471" s="107">
        <f>G472</f>
        <v>840</v>
      </c>
      <c r="H471" s="107">
        <f>H472</f>
        <v>827.2355</v>
      </c>
      <c r="I471" s="329">
        <f t="shared" si="27"/>
        <v>98.48041666666667</v>
      </c>
    </row>
    <row r="472" spans="1:9" ht="45">
      <c r="A472" s="29" t="s">
        <v>174</v>
      </c>
      <c r="B472" s="104" t="s">
        <v>350</v>
      </c>
      <c r="C472" s="54" t="s">
        <v>329</v>
      </c>
      <c r="D472" s="54" t="s">
        <v>112</v>
      </c>
      <c r="E472" s="54" t="s">
        <v>40</v>
      </c>
      <c r="F472" s="54" t="s">
        <v>175</v>
      </c>
      <c r="G472" s="107">
        <f>G473</f>
        <v>840</v>
      </c>
      <c r="H472" s="107">
        <f>H473</f>
        <v>827.2355</v>
      </c>
      <c r="I472" s="329">
        <f t="shared" si="27"/>
        <v>98.48041666666667</v>
      </c>
    </row>
    <row r="473" spans="1:9" ht="15">
      <c r="A473" s="61" t="s">
        <v>176</v>
      </c>
      <c r="B473" s="104" t="s">
        <v>350</v>
      </c>
      <c r="C473" s="54" t="s">
        <v>329</v>
      </c>
      <c r="D473" s="54" t="s">
        <v>112</v>
      </c>
      <c r="E473" s="54" t="s">
        <v>39</v>
      </c>
      <c r="F473" s="54" t="s">
        <v>240</v>
      </c>
      <c r="G473" s="107">
        <v>840</v>
      </c>
      <c r="H473" s="107">
        <v>827.2355</v>
      </c>
      <c r="I473" s="329">
        <f t="shared" si="27"/>
        <v>98.48041666666667</v>
      </c>
    </row>
    <row r="474" spans="1:10" ht="60">
      <c r="A474" s="29" t="s">
        <v>330</v>
      </c>
      <c r="B474" s="104" t="s">
        <v>350</v>
      </c>
      <c r="C474" s="54" t="s">
        <v>329</v>
      </c>
      <c r="D474" s="54" t="s">
        <v>112</v>
      </c>
      <c r="E474" s="54" t="s">
        <v>40</v>
      </c>
      <c r="F474" s="54" t="s">
        <v>347</v>
      </c>
      <c r="G474" s="107">
        <f>G475</f>
        <v>69451.41955</v>
      </c>
      <c r="H474" s="107">
        <f>H475</f>
        <v>50434.24241</v>
      </c>
      <c r="I474" s="329">
        <f t="shared" si="27"/>
        <v>72.61801520657326</v>
      </c>
      <c r="J474" s="363"/>
    </row>
    <row r="475" spans="1:9" ht="45">
      <c r="A475" s="29" t="s">
        <v>174</v>
      </c>
      <c r="B475" s="104" t="s">
        <v>350</v>
      </c>
      <c r="C475" s="54" t="s">
        <v>329</v>
      </c>
      <c r="D475" s="54" t="s">
        <v>112</v>
      </c>
      <c r="E475" s="54" t="s">
        <v>40</v>
      </c>
      <c r="F475" s="54" t="s">
        <v>175</v>
      </c>
      <c r="G475" s="107">
        <f>G476</f>
        <v>69451.41955</v>
      </c>
      <c r="H475" s="107">
        <f>H476</f>
        <v>50434.24241</v>
      </c>
      <c r="I475" s="329">
        <f t="shared" si="27"/>
        <v>72.61801520657326</v>
      </c>
    </row>
    <row r="476" spans="1:10" ht="15">
      <c r="A476" s="29" t="s">
        <v>142</v>
      </c>
      <c r="B476" s="104" t="s">
        <v>350</v>
      </c>
      <c r="C476" s="54" t="s">
        <v>329</v>
      </c>
      <c r="D476" s="54" t="s">
        <v>112</v>
      </c>
      <c r="E476" s="54" t="s">
        <v>41</v>
      </c>
      <c r="F476" s="54" t="s">
        <v>240</v>
      </c>
      <c r="G476" s="107">
        <v>69451.41955</v>
      </c>
      <c r="H476" s="107">
        <v>50434.24241</v>
      </c>
      <c r="I476" s="329">
        <f t="shared" si="27"/>
        <v>72.61801520657326</v>
      </c>
      <c r="J476" s="363"/>
    </row>
    <row r="477" spans="1:9" ht="75">
      <c r="A477" s="29" t="s">
        <v>334</v>
      </c>
      <c r="B477" s="104" t="s">
        <v>350</v>
      </c>
      <c r="C477" s="54" t="s">
        <v>329</v>
      </c>
      <c r="D477" s="364" t="s">
        <v>112</v>
      </c>
      <c r="E477" s="54" t="s">
        <v>42</v>
      </c>
      <c r="F477" s="54" t="s">
        <v>347</v>
      </c>
      <c r="G477" s="107">
        <f>G478</f>
        <v>48045.528</v>
      </c>
      <c r="H477" s="107">
        <f>H478</f>
        <v>48045.528</v>
      </c>
      <c r="I477" s="329">
        <f t="shared" si="27"/>
        <v>100</v>
      </c>
    </row>
    <row r="478" spans="1:9" ht="45">
      <c r="A478" s="29" t="s">
        <v>174</v>
      </c>
      <c r="B478" s="104" t="s">
        <v>350</v>
      </c>
      <c r="C478" s="54" t="s">
        <v>329</v>
      </c>
      <c r="D478" s="54" t="s">
        <v>112</v>
      </c>
      <c r="E478" s="54" t="s">
        <v>42</v>
      </c>
      <c r="F478" s="54" t="s">
        <v>175</v>
      </c>
      <c r="G478" s="107">
        <f>G479</f>
        <v>48045.528</v>
      </c>
      <c r="H478" s="107">
        <f>H479</f>
        <v>48045.528</v>
      </c>
      <c r="I478" s="329">
        <f t="shared" si="27"/>
        <v>100</v>
      </c>
    </row>
    <row r="479" spans="1:9" ht="15">
      <c r="A479" s="29" t="s">
        <v>176</v>
      </c>
      <c r="B479" s="104" t="s">
        <v>350</v>
      </c>
      <c r="C479" s="54" t="s">
        <v>329</v>
      </c>
      <c r="D479" s="54" t="s">
        <v>112</v>
      </c>
      <c r="E479" s="54" t="s">
        <v>42</v>
      </c>
      <c r="F479" s="54" t="s">
        <v>240</v>
      </c>
      <c r="G479" s="107">
        <v>48045.528</v>
      </c>
      <c r="H479" s="107">
        <v>48045.528</v>
      </c>
      <c r="I479" s="329">
        <f t="shared" si="27"/>
        <v>100</v>
      </c>
    </row>
    <row r="480" spans="1:9" ht="21" customHeight="1" hidden="1">
      <c r="A480" s="75" t="s">
        <v>518</v>
      </c>
      <c r="B480" s="97" t="s">
        <v>350</v>
      </c>
      <c r="C480" s="80" t="s">
        <v>329</v>
      </c>
      <c r="D480" s="80" t="s">
        <v>112</v>
      </c>
      <c r="E480" s="80" t="s">
        <v>262</v>
      </c>
      <c r="F480" s="80" t="s">
        <v>347</v>
      </c>
      <c r="G480" s="313">
        <f>H480</f>
        <v>0</v>
      </c>
      <c r="H480" s="109">
        <f>H481</f>
        <v>0</v>
      </c>
      <c r="I480" s="329" t="e">
        <f t="shared" si="27"/>
        <v>#DIV/0!</v>
      </c>
    </row>
    <row r="481" spans="1:9" ht="33" customHeight="1" hidden="1">
      <c r="A481" s="29" t="s">
        <v>519</v>
      </c>
      <c r="B481" s="32" t="s">
        <v>350</v>
      </c>
      <c r="C481" s="54" t="s">
        <v>329</v>
      </c>
      <c r="D481" s="54" t="s">
        <v>112</v>
      </c>
      <c r="E481" s="54" t="s">
        <v>520</v>
      </c>
      <c r="F481" s="54" t="s">
        <v>347</v>
      </c>
      <c r="G481" s="312">
        <f>H481</f>
        <v>0</v>
      </c>
      <c r="H481" s="107">
        <f>H482</f>
        <v>0</v>
      </c>
      <c r="I481" s="329" t="e">
        <f t="shared" si="27"/>
        <v>#DIV/0!</v>
      </c>
    </row>
    <row r="482" spans="1:9" ht="47.25" customHeight="1" hidden="1">
      <c r="A482" s="29" t="s">
        <v>174</v>
      </c>
      <c r="B482" s="32" t="s">
        <v>350</v>
      </c>
      <c r="C482" s="54" t="s">
        <v>329</v>
      </c>
      <c r="D482" s="54" t="s">
        <v>112</v>
      </c>
      <c r="E482" s="54" t="s">
        <v>520</v>
      </c>
      <c r="F482" s="54" t="s">
        <v>175</v>
      </c>
      <c r="G482" s="312">
        <f>H482</f>
        <v>0</v>
      </c>
      <c r="H482" s="107">
        <f>H483</f>
        <v>0</v>
      </c>
      <c r="I482" s="329" t="e">
        <f t="shared" si="27"/>
        <v>#DIV/0!</v>
      </c>
    </row>
    <row r="483" spans="1:9" ht="22.5" customHeight="1" hidden="1">
      <c r="A483" s="29" t="s">
        <v>176</v>
      </c>
      <c r="B483" s="32" t="s">
        <v>350</v>
      </c>
      <c r="C483" s="54" t="s">
        <v>329</v>
      </c>
      <c r="D483" s="54" t="s">
        <v>112</v>
      </c>
      <c r="E483" s="54" t="s">
        <v>520</v>
      </c>
      <c r="F483" s="54" t="s">
        <v>240</v>
      </c>
      <c r="G483" s="312">
        <f>H483</f>
        <v>0</v>
      </c>
      <c r="H483" s="107">
        <v>0</v>
      </c>
      <c r="I483" s="329" t="e">
        <f t="shared" si="27"/>
        <v>#DIV/0!</v>
      </c>
    </row>
    <row r="484" spans="1:13" ht="15">
      <c r="A484" s="353" t="s">
        <v>381</v>
      </c>
      <c r="B484" s="354" t="s">
        <v>350</v>
      </c>
      <c r="C484" s="302" t="s">
        <v>329</v>
      </c>
      <c r="D484" s="302" t="s">
        <v>114</v>
      </c>
      <c r="E484" s="302" t="s">
        <v>262</v>
      </c>
      <c r="F484" s="302" t="s">
        <v>347</v>
      </c>
      <c r="G484" s="338">
        <f>G485+G493</f>
        <v>340683.51787999994</v>
      </c>
      <c r="H484" s="338">
        <f>H485+H493</f>
        <v>323261.17954999994</v>
      </c>
      <c r="I484" s="336">
        <f t="shared" si="27"/>
        <v>94.88606362925466</v>
      </c>
      <c r="M484" s="343"/>
    </row>
    <row r="485" spans="1:9" ht="45">
      <c r="A485" s="75" t="s">
        <v>407</v>
      </c>
      <c r="B485" s="362" t="s">
        <v>350</v>
      </c>
      <c r="C485" s="80" t="s">
        <v>329</v>
      </c>
      <c r="D485" s="80" t="s">
        <v>114</v>
      </c>
      <c r="E485" s="80" t="s">
        <v>25</v>
      </c>
      <c r="F485" s="80" t="s">
        <v>347</v>
      </c>
      <c r="G485" s="115">
        <f>G486</f>
        <v>337875.51787999994</v>
      </c>
      <c r="H485" s="115">
        <f>H486</f>
        <v>320466.06143999996</v>
      </c>
      <c r="I485" s="329">
        <f t="shared" si="27"/>
        <v>94.84737558103184</v>
      </c>
    </row>
    <row r="486" spans="1:9" ht="45">
      <c r="A486" s="98" t="s">
        <v>212</v>
      </c>
      <c r="B486" s="104" t="s">
        <v>350</v>
      </c>
      <c r="C486" s="54" t="s">
        <v>329</v>
      </c>
      <c r="D486" s="54" t="s">
        <v>114</v>
      </c>
      <c r="E486" s="54" t="s">
        <v>43</v>
      </c>
      <c r="F486" s="54" t="s">
        <v>347</v>
      </c>
      <c r="G486" s="107">
        <f>G487+G490+G504</f>
        <v>337875.51787999994</v>
      </c>
      <c r="H486" s="107">
        <f>H487+H490+H504</f>
        <v>320466.06143999996</v>
      </c>
      <c r="I486" s="329">
        <f t="shared" si="27"/>
        <v>94.84737558103184</v>
      </c>
    </row>
    <row r="487" spans="1:9" ht="30">
      <c r="A487" s="29" t="s">
        <v>204</v>
      </c>
      <c r="B487" s="104" t="s">
        <v>350</v>
      </c>
      <c r="C487" s="54" t="s">
        <v>329</v>
      </c>
      <c r="D487" s="54" t="s">
        <v>114</v>
      </c>
      <c r="E487" s="54" t="s">
        <v>44</v>
      </c>
      <c r="F487" s="54" t="s">
        <v>347</v>
      </c>
      <c r="G487" s="107">
        <f>G488</f>
        <v>1170</v>
      </c>
      <c r="H487" s="107">
        <f>H488</f>
        <v>710.89216</v>
      </c>
      <c r="I487" s="329">
        <f t="shared" si="27"/>
        <v>60.76001367521368</v>
      </c>
    </row>
    <row r="488" spans="1:9" ht="45">
      <c r="A488" s="29" t="s">
        <v>174</v>
      </c>
      <c r="B488" s="104" t="s">
        <v>350</v>
      </c>
      <c r="C488" s="54" t="s">
        <v>329</v>
      </c>
      <c r="D488" s="54" t="s">
        <v>114</v>
      </c>
      <c r="E488" s="54" t="s">
        <v>44</v>
      </c>
      <c r="F488" s="54" t="s">
        <v>175</v>
      </c>
      <c r="G488" s="107">
        <f>G489</f>
        <v>1170</v>
      </c>
      <c r="H488" s="107">
        <f>H489</f>
        <v>710.89216</v>
      </c>
      <c r="I488" s="329">
        <f t="shared" si="27"/>
        <v>60.76001367521368</v>
      </c>
    </row>
    <row r="489" spans="1:9" ht="15">
      <c r="A489" s="61" t="s">
        <v>176</v>
      </c>
      <c r="B489" s="104" t="s">
        <v>350</v>
      </c>
      <c r="C489" s="54" t="s">
        <v>329</v>
      </c>
      <c r="D489" s="54" t="s">
        <v>114</v>
      </c>
      <c r="E489" s="54" t="s">
        <v>45</v>
      </c>
      <c r="F489" s="54" t="s">
        <v>240</v>
      </c>
      <c r="G489" s="107">
        <v>1170</v>
      </c>
      <c r="H489" s="107">
        <v>710.89216</v>
      </c>
      <c r="I489" s="329">
        <f t="shared" si="27"/>
        <v>60.76001367521368</v>
      </c>
    </row>
    <row r="490" spans="1:9" ht="45">
      <c r="A490" s="29" t="s">
        <v>205</v>
      </c>
      <c r="B490" s="32" t="s">
        <v>350</v>
      </c>
      <c r="C490" s="54" t="s">
        <v>329</v>
      </c>
      <c r="D490" s="54" t="s">
        <v>114</v>
      </c>
      <c r="E490" s="54" t="s">
        <v>44</v>
      </c>
      <c r="F490" s="54" t="s">
        <v>347</v>
      </c>
      <c r="G490" s="107">
        <f>G491</f>
        <v>158238.00788</v>
      </c>
      <c r="H490" s="107">
        <f>H491</f>
        <v>143082.096</v>
      </c>
      <c r="I490" s="329">
        <f t="shared" si="27"/>
        <v>90.42207868826718</v>
      </c>
    </row>
    <row r="491" spans="1:9" ht="45">
      <c r="A491" s="29" t="s">
        <v>174</v>
      </c>
      <c r="B491" s="104" t="s">
        <v>350</v>
      </c>
      <c r="C491" s="54" t="s">
        <v>329</v>
      </c>
      <c r="D491" s="54" t="s">
        <v>114</v>
      </c>
      <c r="E491" s="54" t="s">
        <v>44</v>
      </c>
      <c r="F491" s="54" t="s">
        <v>175</v>
      </c>
      <c r="G491" s="107">
        <f>G492</f>
        <v>158238.00788</v>
      </c>
      <c r="H491" s="107">
        <f>H492</f>
        <v>143082.096</v>
      </c>
      <c r="I491" s="329">
        <f t="shared" si="27"/>
        <v>90.42207868826718</v>
      </c>
    </row>
    <row r="492" spans="1:9" ht="15">
      <c r="A492" s="29" t="s">
        <v>176</v>
      </c>
      <c r="B492" s="104" t="s">
        <v>350</v>
      </c>
      <c r="C492" s="54" t="s">
        <v>329</v>
      </c>
      <c r="D492" s="54" t="s">
        <v>114</v>
      </c>
      <c r="E492" s="54" t="s">
        <v>46</v>
      </c>
      <c r="F492" s="54" t="s">
        <v>240</v>
      </c>
      <c r="G492" s="107">
        <v>158238.00788</v>
      </c>
      <c r="H492" s="107">
        <v>143082.096</v>
      </c>
      <c r="I492" s="329">
        <f t="shared" si="27"/>
        <v>90.42207868826718</v>
      </c>
    </row>
    <row r="493" spans="1:9" ht="30">
      <c r="A493" s="365" t="s">
        <v>210</v>
      </c>
      <c r="B493" s="97" t="s">
        <v>350</v>
      </c>
      <c r="C493" s="80" t="s">
        <v>329</v>
      </c>
      <c r="D493" s="80" t="s">
        <v>114</v>
      </c>
      <c r="E493" s="80" t="s">
        <v>47</v>
      </c>
      <c r="F493" s="80" t="s">
        <v>347</v>
      </c>
      <c r="G493" s="115">
        <f>G494+G497</f>
        <v>2808</v>
      </c>
      <c r="H493" s="115">
        <f>H494+H497</f>
        <v>2795.11811</v>
      </c>
      <c r="I493" s="330">
        <f t="shared" si="27"/>
        <v>99.54124323361823</v>
      </c>
    </row>
    <row r="494" spans="1:9" ht="45">
      <c r="A494" s="75" t="s">
        <v>211</v>
      </c>
      <c r="B494" s="97" t="s">
        <v>350</v>
      </c>
      <c r="C494" s="80" t="s">
        <v>329</v>
      </c>
      <c r="D494" s="80" t="s">
        <v>114</v>
      </c>
      <c r="E494" s="80" t="s">
        <v>48</v>
      </c>
      <c r="F494" s="80" t="s">
        <v>347</v>
      </c>
      <c r="G494" s="115">
        <f>G495</f>
        <v>258</v>
      </c>
      <c r="H494" s="115">
        <f>H495</f>
        <v>253.1459</v>
      </c>
      <c r="I494" s="330">
        <f t="shared" si="27"/>
        <v>98.11856589147287</v>
      </c>
    </row>
    <row r="495" spans="1:9" ht="45">
      <c r="A495" s="29" t="s">
        <v>174</v>
      </c>
      <c r="B495" s="104" t="s">
        <v>350</v>
      </c>
      <c r="C495" s="54" t="s">
        <v>329</v>
      </c>
      <c r="D495" s="54" t="s">
        <v>114</v>
      </c>
      <c r="E495" s="54" t="s">
        <v>48</v>
      </c>
      <c r="F495" s="54" t="s">
        <v>175</v>
      </c>
      <c r="G495" s="107">
        <f>G496</f>
        <v>258</v>
      </c>
      <c r="H495" s="107">
        <f>H496</f>
        <v>253.1459</v>
      </c>
      <c r="I495" s="329">
        <f t="shared" si="27"/>
        <v>98.11856589147287</v>
      </c>
    </row>
    <row r="496" spans="1:9" ht="15">
      <c r="A496" s="61" t="s">
        <v>176</v>
      </c>
      <c r="B496" s="104" t="s">
        <v>350</v>
      </c>
      <c r="C496" s="54" t="s">
        <v>329</v>
      </c>
      <c r="D496" s="54" t="s">
        <v>114</v>
      </c>
      <c r="E496" s="54" t="s">
        <v>49</v>
      </c>
      <c r="F496" s="54" t="s">
        <v>240</v>
      </c>
      <c r="G496" s="107">
        <v>258</v>
      </c>
      <c r="H496" s="107">
        <v>253.1459</v>
      </c>
      <c r="I496" s="329">
        <f t="shared" si="27"/>
        <v>98.11856589147287</v>
      </c>
    </row>
    <row r="497" spans="1:9" ht="41.25" customHeight="1">
      <c r="A497" s="75" t="s">
        <v>206</v>
      </c>
      <c r="B497" s="362" t="s">
        <v>350</v>
      </c>
      <c r="C497" s="80" t="s">
        <v>329</v>
      </c>
      <c r="D497" s="80" t="s">
        <v>114</v>
      </c>
      <c r="E497" s="80" t="s">
        <v>48</v>
      </c>
      <c r="F497" s="80" t="s">
        <v>347</v>
      </c>
      <c r="G497" s="115">
        <f>G498</f>
        <v>2550</v>
      </c>
      <c r="H497" s="115">
        <f>H498</f>
        <v>2541.97221</v>
      </c>
      <c r="I497" s="329">
        <f t="shared" si="27"/>
        <v>99.68518470588235</v>
      </c>
    </row>
    <row r="498" spans="1:9" ht="45">
      <c r="A498" s="29" t="s">
        <v>174</v>
      </c>
      <c r="B498" s="104" t="s">
        <v>350</v>
      </c>
      <c r="C498" s="54" t="s">
        <v>329</v>
      </c>
      <c r="D498" s="54" t="s">
        <v>114</v>
      </c>
      <c r="E498" s="54" t="s">
        <v>48</v>
      </c>
      <c r="F498" s="54" t="s">
        <v>175</v>
      </c>
      <c r="G498" s="107">
        <f>G499</f>
        <v>2550</v>
      </c>
      <c r="H498" s="107">
        <f>H499</f>
        <v>2541.97221</v>
      </c>
      <c r="I498" s="329">
        <f t="shared" si="27"/>
        <v>99.68518470588235</v>
      </c>
    </row>
    <row r="499" spans="1:9" ht="15">
      <c r="A499" s="61" t="s">
        <v>373</v>
      </c>
      <c r="B499" s="104" t="s">
        <v>350</v>
      </c>
      <c r="C499" s="54" t="s">
        <v>329</v>
      </c>
      <c r="D499" s="54" t="s">
        <v>114</v>
      </c>
      <c r="E499" s="54" t="s">
        <v>50</v>
      </c>
      <c r="F499" s="54" t="s">
        <v>240</v>
      </c>
      <c r="G499" s="107">
        <v>2550</v>
      </c>
      <c r="H499" s="318">
        <v>2541.97221</v>
      </c>
      <c r="I499" s="329">
        <f t="shared" si="27"/>
        <v>99.68518470588235</v>
      </c>
    </row>
    <row r="500" spans="1:9" ht="30" hidden="1">
      <c r="A500" s="98" t="s">
        <v>241</v>
      </c>
      <c r="B500" s="104" t="s">
        <v>350</v>
      </c>
      <c r="C500" s="54" t="s">
        <v>329</v>
      </c>
      <c r="D500" s="54" t="s">
        <v>114</v>
      </c>
      <c r="E500" s="54" t="s">
        <v>51</v>
      </c>
      <c r="F500" s="54" t="s">
        <v>347</v>
      </c>
      <c r="G500" s="107" t="e">
        <f>H500+I500</f>
        <v>#DIV/0!</v>
      </c>
      <c r="H500" s="318">
        <f>H501</f>
        <v>0</v>
      </c>
      <c r="I500" s="329" t="e">
        <f t="shared" si="27"/>
        <v>#DIV/0!</v>
      </c>
    </row>
    <row r="501" spans="1:9" ht="45" hidden="1">
      <c r="A501" s="29" t="s">
        <v>174</v>
      </c>
      <c r="B501" s="104" t="s">
        <v>350</v>
      </c>
      <c r="C501" s="54" t="s">
        <v>329</v>
      </c>
      <c r="D501" s="54" t="s">
        <v>114</v>
      </c>
      <c r="E501" s="54" t="s">
        <v>52</v>
      </c>
      <c r="F501" s="54" t="s">
        <v>347</v>
      </c>
      <c r="G501" s="107">
        <f>H501+I501</f>
        <v>0</v>
      </c>
      <c r="H501" s="107">
        <f>H502+H503</f>
        <v>0</v>
      </c>
      <c r="I501" s="329" t="e">
        <f t="shared" si="27"/>
        <v>#DIV/0!</v>
      </c>
    </row>
    <row r="502" spans="1:9" ht="30" hidden="1">
      <c r="A502" s="29" t="s">
        <v>94</v>
      </c>
      <c r="B502" s="104" t="s">
        <v>350</v>
      </c>
      <c r="C502" s="54" t="s">
        <v>329</v>
      </c>
      <c r="D502" s="54" t="s">
        <v>114</v>
      </c>
      <c r="E502" s="54" t="s">
        <v>53</v>
      </c>
      <c r="F502" s="54" t="s">
        <v>240</v>
      </c>
      <c r="G502" s="107" t="e">
        <f>H502+I502</f>
        <v>#DIV/0!</v>
      </c>
      <c r="H502" s="107"/>
      <c r="I502" s="329" t="e">
        <f t="shared" si="27"/>
        <v>#DIV/0!</v>
      </c>
    </row>
    <row r="503" spans="1:9" ht="30" hidden="1">
      <c r="A503" s="29" t="s">
        <v>95</v>
      </c>
      <c r="B503" s="104" t="s">
        <v>350</v>
      </c>
      <c r="C503" s="54" t="s">
        <v>329</v>
      </c>
      <c r="D503" s="54" t="s">
        <v>114</v>
      </c>
      <c r="E503" s="54" t="s">
        <v>54</v>
      </c>
      <c r="F503" s="54" t="s">
        <v>240</v>
      </c>
      <c r="G503" s="107" t="e">
        <f>H503+I503</f>
        <v>#DIV/0!</v>
      </c>
      <c r="H503" s="107"/>
      <c r="I503" s="329" t="e">
        <f t="shared" si="27"/>
        <v>#DIV/0!</v>
      </c>
    </row>
    <row r="504" spans="1:9" ht="52.5" customHeight="1">
      <c r="A504" s="75" t="s">
        <v>407</v>
      </c>
      <c r="B504" s="362" t="s">
        <v>350</v>
      </c>
      <c r="C504" s="80" t="s">
        <v>329</v>
      </c>
      <c r="D504" s="80" t="s">
        <v>114</v>
      </c>
      <c r="E504" s="80" t="s">
        <v>25</v>
      </c>
      <c r="F504" s="80" t="s">
        <v>347</v>
      </c>
      <c r="G504" s="107">
        <f>G505</f>
        <v>178467.50999999998</v>
      </c>
      <c r="H504" s="107">
        <f>H505</f>
        <v>176673.07327999998</v>
      </c>
      <c r="I504" s="329">
        <f aca="true" t="shared" si="29" ref="I504:I558">H504/G504*100</f>
        <v>98.99453030974658</v>
      </c>
    </row>
    <row r="505" spans="1:9" ht="45">
      <c r="A505" s="98" t="s">
        <v>212</v>
      </c>
      <c r="B505" s="104" t="s">
        <v>350</v>
      </c>
      <c r="C505" s="54" t="s">
        <v>329</v>
      </c>
      <c r="D505" s="54" t="s">
        <v>114</v>
      </c>
      <c r="E505" s="54" t="s">
        <v>43</v>
      </c>
      <c r="F505" s="54" t="s">
        <v>347</v>
      </c>
      <c r="G505" s="107">
        <f>G511+G514+G517+G520</f>
        <v>178467.50999999998</v>
      </c>
      <c r="H505" s="107">
        <f>H511+H514+H517+H520</f>
        <v>176673.07327999998</v>
      </c>
      <c r="I505" s="329">
        <f t="shared" si="29"/>
        <v>98.99453030974658</v>
      </c>
    </row>
    <row r="506" spans="1:9" ht="15">
      <c r="A506" s="29" t="s">
        <v>133</v>
      </c>
      <c r="B506" s="104" t="s">
        <v>350</v>
      </c>
      <c r="C506" s="54" t="s">
        <v>329</v>
      </c>
      <c r="D506" s="54" t="s">
        <v>114</v>
      </c>
      <c r="E506" s="54" t="s">
        <v>262</v>
      </c>
      <c r="F506" s="54" t="s">
        <v>347</v>
      </c>
      <c r="G506" s="107">
        <f>G511+G514+G517</f>
        <v>172100.72999999998</v>
      </c>
      <c r="H506" s="107">
        <f>H511+H514+H517</f>
        <v>170778.26106999998</v>
      </c>
      <c r="I506" s="329">
        <f t="shared" si="29"/>
        <v>99.23157273650146</v>
      </c>
    </row>
    <row r="507" spans="1:9" ht="45" hidden="1">
      <c r="A507" s="29" t="s">
        <v>145</v>
      </c>
      <c r="B507" s="104" t="s">
        <v>350</v>
      </c>
      <c r="C507" s="54" t="s">
        <v>329</v>
      </c>
      <c r="D507" s="54" t="s">
        <v>114</v>
      </c>
      <c r="E507" s="54" t="s">
        <v>96</v>
      </c>
      <c r="F507" s="54" t="s">
        <v>347</v>
      </c>
      <c r="G507" s="107" t="e">
        <f>H507+I507</f>
        <v>#DIV/0!</v>
      </c>
      <c r="H507" s="318">
        <f>H508</f>
        <v>0</v>
      </c>
      <c r="I507" s="329" t="e">
        <f t="shared" si="29"/>
        <v>#DIV/0!</v>
      </c>
    </row>
    <row r="508" spans="1:9" ht="15" hidden="1">
      <c r="A508" s="29" t="s">
        <v>133</v>
      </c>
      <c r="B508" s="104" t="s">
        <v>350</v>
      </c>
      <c r="C508" s="54" t="s">
        <v>329</v>
      </c>
      <c r="D508" s="54" t="s">
        <v>114</v>
      </c>
      <c r="E508" s="54" t="s">
        <v>96</v>
      </c>
      <c r="F508" s="54" t="s">
        <v>311</v>
      </c>
      <c r="G508" s="107">
        <f>H508+I508</f>
        <v>0</v>
      </c>
      <c r="H508" s="318"/>
      <c r="I508" s="329" t="e">
        <f t="shared" si="29"/>
        <v>#DIV/0!</v>
      </c>
    </row>
    <row r="509" spans="1:9" ht="66.75" customHeight="1">
      <c r="A509" s="75" t="s">
        <v>489</v>
      </c>
      <c r="B509" s="97" t="s">
        <v>350</v>
      </c>
      <c r="C509" s="80" t="s">
        <v>329</v>
      </c>
      <c r="D509" s="80" t="s">
        <v>114</v>
      </c>
      <c r="E509" s="80" t="s">
        <v>43</v>
      </c>
      <c r="F509" s="80" t="s">
        <v>347</v>
      </c>
      <c r="G509" s="115">
        <f>G510</f>
        <v>10064.37</v>
      </c>
      <c r="H509" s="115">
        <f>H510</f>
        <v>9384.91149</v>
      </c>
      <c r="I509" s="330">
        <f t="shared" si="29"/>
        <v>93.24887191150563</v>
      </c>
    </row>
    <row r="510" spans="1:9" ht="45">
      <c r="A510" s="29" t="s">
        <v>174</v>
      </c>
      <c r="B510" s="32" t="s">
        <v>350</v>
      </c>
      <c r="C510" s="54" t="s">
        <v>329</v>
      </c>
      <c r="D510" s="54" t="s">
        <v>114</v>
      </c>
      <c r="E510" s="54" t="s">
        <v>490</v>
      </c>
      <c r="F510" s="54" t="s">
        <v>175</v>
      </c>
      <c r="G510" s="107">
        <f>G511</f>
        <v>10064.37</v>
      </c>
      <c r="H510" s="107">
        <f>H511</f>
        <v>9384.91149</v>
      </c>
      <c r="I510" s="329">
        <f t="shared" si="29"/>
        <v>93.24887191150563</v>
      </c>
    </row>
    <row r="511" spans="1:9" ht="15" customHeight="1">
      <c r="A511" s="61" t="s">
        <v>176</v>
      </c>
      <c r="B511" s="32" t="s">
        <v>350</v>
      </c>
      <c r="C511" s="54" t="s">
        <v>329</v>
      </c>
      <c r="D511" s="54" t="s">
        <v>114</v>
      </c>
      <c r="E511" s="54" t="s">
        <v>490</v>
      </c>
      <c r="F511" s="54" t="s">
        <v>240</v>
      </c>
      <c r="G511" s="107">
        <v>10064.37</v>
      </c>
      <c r="H511" s="107">
        <v>9384.91149</v>
      </c>
      <c r="I511" s="329">
        <f t="shared" si="29"/>
        <v>93.24887191150563</v>
      </c>
    </row>
    <row r="512" spans="1:9" ht="90">
      <c r="A512" s="75" t="s">
        <v>623</v>
      </c>
      <c r="B512" s="97" t="s">
        <v>350</v>
      </c>
      <c r="C512" s="80" t="s">
        <v>329</v>
      </c>
      <c r="D512" s="80" t="s">
        <v>114</v>
      </c>
      <c r="E512" s="80" t="s">
        <v>624</v>
      </c>
      <c r="F512" s="80" t="s">
        <v>347</v>
      </c>
      <c r="G512" s="316">
        <f>G513</f>
        <v>5152</v>
      </c>
      <c r="H512" s="316">
        <f>H513</f>
        <v>4508.98958</v>
      </c>
      <c r="I512" s="329">
        <f t="shared" si="29"/>
        <v>87.5192076863354</v>
      </c>
    </row>
    <row r="513" spans="1:9" ht="45">
      <c r="A513" s="29" t="s">
        <v>174</v>
      </c>
      <c r="B513" s="32" t="s">
        <v>350</v>
      </c>
      <c r="C513" s="54" t="s">
        <v>329</v>
      </c>
      <c r="D513" s="54" t="s">
        <v>114</v>
      </c>
      <c r="E513" s="54" t="s">
        <v>624</v>
      </c>
      <c r="F513" s="54" t="s">
        <v>175</v>
      </c>
      <c r="G513" s="312">
        <f>G514</f>
        <v>5152</v>
      </c>
      <c r="H513" s="312">
        <f>H514</f>
        <v>4508.98958</v>
      </c>
      <c r="I513" s="329">
        <f t="shared" si="29"/>
        <v>87.5192076863354</v>
      </c>
    </row>
    <row r="514" spans="1:9" ht="15">
      <c r="A514" s="29" t="s">
        <v>176</v>
      </c>
      <c r="B514" s="32" t="s">
        <v>350</v>
      </c>
      <c r="C514" s="54" t="s">
        <v>329</v>
      </c>
      <c r="D514" s="54" t="s">
        <v>114</v>
      </c>
      <c r="E514" s="54" t="s">
        <v>624</v>
      </c>
      <c r="F514" s="54" t="s">
        <v>240</v>
      </c>
      <c r="G514" s="312">
        <v>5152</v>
      </c>
      <c r="H514" s="107">
        <v>4508.98958</v>
      </c>
      <c r="I514" s="329">
        <f t="shared" si="29"/>
        <v>87.5192076863354</v>
      </c>
    </row>
    <row r="515" spans="1:9" ht="82.5" customHeight="1">
      <c r="A515" s="75" t="s">
        <v>146</v>
      </c>
      <c r="B515" s="97" t="s">
        <v>350</v>
      </c>
      <c r="C515" s="80" t="s">
        <v>329</v>
      </c>
      <c r="D515" s="80" t="s">
        <v>114</v>
      </c>
      <c r="E515" s="80" t="s">
        <v>57</v>
      </c>
      <c r="F515" s="80" t="s">
        <v>347</v>
      </c>
      <c r="G515" s="115">
        <f>G516</f>
        <v>156884.36</v>
      </c>
      <c r="H515" s="115">
        <f>H516</f>
        <v>156884.36</v>
      </c>
      <c r="I515" s="330">
        <f t="shared" si="29"/>
        <v>100</v>
      </c>
    </row>
    <row r="516" spans="1:9" ht="45">
      <c r="A516" s="29" t="s">
        <v>174</v>
      </c>
      <c r="B516" s="104" t="s">
        <v>350</v>
      </c>
      <c r="C516" s="54" t="s">
        <v>329</v>
      </c>
      <c r="D516" s="54" t="s">
        <v>114</v>
      </c>
      <c r="E516" s="54" t="s">
        <v>57</v>
      </c>
      <c r="F516" s="54" t="s">
        <v>175</v>
      </c>
      <c r="G516" s="107">
        <f>G517</f>
        <v>156884.36</v>
      </c>
      <c r="H516" s="107">
        <f>H517</f>
        <v>156884.36</v>
      </c>
      <c r="I516" s="329">
        <f t="shared" si="29"/>
        <v>100</v>
      </c>
    </row>
    <row r="517" spans="1:9" ht="15">
      <c r="A517" s="29" t="s">
        <v>176</v>
      </c>
      <c r="B517" s="104" t="s">
        <v>350</v>
      </c>
      <c r="C517" s="54" t="s">
        <v>329</v>
      </c>
      <c r="D517" s="54" t="s">
        <v>114</v>
      </c>
      <c r="E517" s="54" t="s">
        <v>57</v>
      </c>
      <c r="F517" s="54" t="s">
        <v>240</v>
      </c>
      <c r="G517" s="107">
        <v>156884.36</v>
      </c>
      <c r="H517" s="107">
        <v>156884.36</v>
      </c>
      <c r="I517" s="329">
        <f t="shared" si="29"/>
        <v>100</v>
      </c>
    </row>
    <row r="518" spans="1:9" s="30" customFormat="1" ht="105">
      <c r="A518" s="75" t="s">
        <v>581</v>
      </c>
      <c r="B518" s="97" t="s">
        <v>350</v>
      </c>
      <c r="C518" s="80" t="s">
        <v>329</v>
      </c>
      <c r="D518" s="80" t="s">
        <v>114</v>
      </c>
      <c r="E518" s="80" t="s">
        <v>625</v>
      </c>
      <c r="F518" s="80" t="s">
        <v>347</v>
      </c>
      <c r="G518" s="316">
        <f>G519</f>
        <v>6366.78</v>
      </c>
      <c r="H518" s="316">
        <f>H519</f>
        <v>5894.81221</v>
      </c>
      <c r="I518" s="329">
        <f t="shared" si="29"/>
        <v>92.58702530949712</v>
      </c>
    </row>
    <row r="519" spans="1:9" ht="45">
      <c r="A519" s="29" t="s">
        <v>174</v>
      </c>
      <c r="B519" s="32" t="s">
        <v>350</v>
      </c>
      <c r="C519" s="54" t="s">
        <v>329</v>
      </c>
      <c r="D519" s="54" t="s">
        <v>114</v>
      </c>
      <c r="E519" s="54" t="s">
        <v>625</v>
      </c>
      <c r="F519" s="54" t="s">
        <v>175</v>
      </c>
      <c r="G519" s="312">
        <f>G520</f>
        <v>6366.78</v>
      </c>
      <c r="H519" s="312">
        <f>H520</f>
        <v>5894.81221</v>
      </c>
      <c r="I519" s="329">
        <f t="shared" si="29"/>
        <v>92.58702530949712</v>
      </c>
    </row>
    <row r="520" spans="1:9" ht="22.5" customHeight="1">
      <c r="A520" s="29" t="s">
        <v>176</v>
      </c>
      <c r="B520" s="32" t="s">
        <v>350</v>
      </c>
      <c r="C520" s="54" t="s">
        <v>329</v>
      </c>
      <c r="D520" s="54" t="s">
        <v>114</v>
      </c>
      <c r="E520" s="54" t="s">
        <v>625</v>
      </c>
      <c r="F520" s="54" t="s">
        <v>240</v>
      </c>
      <c r="G520" s="312">
        <v>6366.78</v>
      </c>
      <c r="H520" s="107">
        <v>5894.81221</v>
      </c>
      <c r="I520" s="329">
        <f t="shared" si="29"/>
        <v>92.58702530949712</v>
      </c>
    </row>
    <row r="521" spans="1:9" ht="45">
      <c r="A521" s="335" t="s">
        <v>407</v>
      </c>
      <c r="B521" s="334" t="s">
        <v>350</v>
      </c>
      <c r="C521" s="300" t="s">
        <v>329</v>
      </c>
      <c r="D521" s="300" t="s">
        <v>119</v>
      </c>
      <c r="E521" s="300" t="s">
        <v>25</v>
      </c>
      <c r="F521" s="300" t="s">
        <v>347</v>
      </c>
      <c r="G521" s="333">
        <f>G522</f>
        <v>23159.453</v>
      </c>
      <c r="H521" s="333">
        <f>H522</f>
        <v>22235.29587</v>
      </c>
      <c r="I521" s="336">
        <f t="shared" si="29"/>
        <v>96.00958999333879</v>
      </c>
    </row>
    <row r="522" spans="1:9" ht="30">
      <c r="A522" s="98" t="s">
        <v>241</v>
      </c>
      <c r="B522" s="104" t="s">
        <v>350</v>
      </c>
      <c r="C522" s="54" t="s">
        <v>329</v>
      </c>
      <c r="D522" s="54" t="s">
        <v>119</v>
      </c>
      <c r="E522" s="54" t="s">
        <v>51</v>
      </c>
      <c r="F522" s="54" t="s">
        <v>347</v>
      </c>
      <c r="G522" s="107">
        <f>G523</f>
        <v>23159.453</v>
      </c>
      <c r="H522" s="107">
        <f>H523</f>
        <v>22235.29587</v>
      </c>
      <c r="I522" s="329">
        <f t="shared" si="29"/>
        <v>96.00958999333879</v>
      </c>
    </row>
    <row r="523" spans="1:9" ht="45">
      <c r="A523" s="29" t="s">
        <v>174</v>
      </c>
      <c r="B523" s="104" t="s">
        <v>350</v>
      </c>
      <c r="C523" s="54" t="s">
        <v>329</v>
      </c>
      <c r="D523" s="54" t="s">
        <v>119</v>
      </c>
      <c r="E523" s="54" t="s">
        <v>52</v>
      </c>
      <c r="F523" s="54" t="s">
        <v>175</v>
      </c>
      <c r="G523" s="107">
        <f>G524+G525</f>
        <v>23159.453</v>
      </c>
      <c r="H523" s="107">
        <f>H524+H525</f>
        <v>22235.29587</v>
      </c>
      <c r="I523" s="329">
        <f t="shared" si="29"/>
        <v>96.00958999333879</v>
      </c>
    </row>
    <row r="524" spans="1:9" ht="30">
      <c r="A524" s="29" t="s">
        <v>94</v>
      </c>
      <c r="B524" s="104" t="s">
        <v>350</v>
      </c>
      <c r="C524" s="54" t="s">
        <v>329</v>
      </c>
      <c r="D524" s="54" t="s">
        <v>119</v>
      </c>
      <c r="E524" s="54" t="s">
        <v>53</v>
      </c>
      <c r="F524" s="54" t="s">
        <v>240</v>
      </c>
      <c r="G524" s="107">
        <v>9742.363</v>
      </c>
      <c r="H524" s="107">
        <v>9225.34447</v>
      </c>
      <c r="I524" s="329">
        <f t="shared" si="29"/>
        <v>94.6930890380496</v>
      </c>
    </row>
    <row r="525" spans="1:9" ht="30">
      <c r="A525" s="29" t="s">
        <v>95</v>
      </c>
      <c r="B525" s="104" t="s">
        <v>350</v>
      </c>
      <c r="C525" s="54" t="s">
        <v>329</v>
      </c>
      <c r="D525" s="54" t="s">
        <v>119</v>
      </c>
      <c r="E525" s="54" t="s">
        <v>54</v>
      </c>
      <c r="F525" s="54" t="s">
        <v>240</v>
      </c>
      <c r="G525" s="107">
        <v>13417.09</v>
      </c>
      <c r="H525" s="107">
        <v>13009.9514</v>
      </c>
      <c r="I525" s="329">
        <f t="shared" si="29"/>
        <v>96.96552233010287</v>
      </c>
    </row>
    <row r="526" spans="1:9" ht="45">
      <c r="A526" s="335" t="s">
        <v>408</v>
      </c>
      <c r="B526" s="334" t="s">
        <v>350</v>
      </c>
      <c r="C526" s="300" t="s">
        <v>329</v>
      </c>
      <c r="D526" s="300" t="s">
        <v>326</v>
      </c>
      <c r="E526" s="300" t="s">
        <v>25</v>
      </c>
      <c r="F526" s="300" t="s">
        <v>347</v>
      </c>
      <c r="G526" s="333">
        <f aca="true" t="shared" si="30" ref="G526:H529">G527</f>
        <v>50</v>
      </c>
      <c r="H526" s="333">
        <f t="shared" si="30"/>
        <v>32.777</v>
      </c>
      <c r="I526" s="336">
        <f t="shared" si="29"/>
        <v>65.554</v>
      </c>
    </row>
    <row r="527" spans="1:9" ht="30">
      <c r="A527" s="98" t="s">
        <v>242</v>
      </c>
      <c r="B527" s="104" t="s">
        <v>350</v>
      </c>
      <c r="C527" s="54" t="s">
        <v>329</v>
      </c>
      <c r="D527" s="54" t="s">
        <v>326</v>
      </c>
      <c r="E527" s="54" t="s">
        <v>58</v>
      </c>
      <c r="F527" s="54" t="s">
        <v>347</v>
      </c>
      <c r="G527" s="107">
        <f t="shared" si="30"/>
        <v>50</v>
      </c>
      <c r="H527" s="107">
        <f t="shared" si="30"/>
        <v>32.777</v>
      </c>
      <c r="I527" s="329">
        <f t="shared" si="29"/>
        <v>65.554</v>
      </c>
    </row>
    <row r="528" spans="1:9" ht="30">
      <c r="A528" s="29" t="s">
        <v>207</v>
      </c>
      <c r="B528" s="104" t="s">
        <v>350</v>
      </c>
      <c r="C528" s="54" t="s">
        <v>329</v>
      </c>
      <c r="D528" s="54" t="s">
        <v>326</v>
      </c>
      <c r="E528" s="54" t="s">
        <v>59</v>
      </c>
      <c r="F528" s="54" t="s">
        <v>347</v>
      </c>
      <c r="G528" s="107">
        <f t="shared" si="30"/>
        <v>50</v>
      </c>
      <c r="H528" s="107">
        <f t="shared" si="30"/>
        <v>32.777</v>
      </c>
      <c r="I528" s="329">
        <f t="shared" si="29"/>
        <v>65.554</v>
      </c>
    </row>
    <row r="529" spans="1:9" ht="45">
      <c r="A529" s="29" t="s">
        <v>174</v>
      </c>
      <c r="B529" s="104" t="s">
        <v>350</v>
      </c>
      <c r="C529" s="54" t="s">
        <v>329</v>
      </c>
      <c r="D529" s="54" t="s">
        <v>326</v>
      </c>
      <c r="E529" s="54" t="s">
        <v>59</v>
      </c>
      <c r="F529" s="54" t="s">
        <v>175</v>
      </c>
      <c r="G529" s="107">
        <f t="shared" si="30"/>
        <v>50</v>
      </c>
      <c r="H529" s="107">
        <f t="shared" si="30"/>
        <v>32.777</v>
      </c>
      <c r="I529" s="329">
        <f t="shared" si="29"/>
        <v>65.554</v>
      </c>
    </row>
    <row r="530" spans="1:9" ht="15">
      <c r="A530" s="29" t="s">
        <v>176</v>
      </c>
      <c r="B530" s="104" t="s">
        <v>350</v>
      </c>
      <c r="C530" s="54" t="s">
        <v>329</v>
      </c>
      <c r="D530" s="54" t="s">
        <v>326</v>
      </c>
      <c r="E530" s="54" t="s">
        <v>59</v>
      </c>
      <c r="F530" s="54" t="s">
        <v>240</v>
      </c>
      <c r="G530" s="107">
        <v>50</v>
      </c>
      <c r="H530" s="107">
        <v>32.777</v>
      </c>
      <c r="I530" s="329">
        <f t="shared" si="29"/>
        <v>65.554</v>
      </c>
    </row>
    <row r="531" spans="1:9" ht="45">
      <c r="A531" s="335" t="s">
        <v>407</v>
      </c>
      <c r="B531" s="334" t="s">
        <v>350</v>
      </c>
      <c r="C531" s="300" t="s">
        <v>329</v>
      </c>
      <c r="D531" s="300" t="s">
        <v>329</v>
      </c>
      <c r="E531" s="300" t="s">
        <v>25</v>
      </c>
      <c r="F531" s="300" t="s">
        <v>347</v>
      </c>
      <c r="G531" s="333">
        <f>G532</f>
        <v>1193.4749900000002</v>
      </c>
      <c r="H531" s="333">
        <f>H532</f>
        <v>1124.7990300000001</v>
      </c>
      <c r="I531" s="336">
        <f t="shared" si="29"/>
        <v>94.24571435719822</v>
      </c>
    </row>
    <row r="532" spans="1:9" ht="33.75" customHeight="1">
      <c r="A532" s="98" t="s">
        <v>241</v>
      </c>
      <c r="B532" s="32" t="s">
        <v>350</v>
      </c>
      <c r="C532" s="54" t="s">
        <v>329</v>
      </c>
      <c r="D532" s="54" t="s">
        <v>329</v>
      </c>
      <c r="E532" s="54" t="s">
        <v>51</v>
      </c>
      <c r="F532" s="54" t="s">
        <v>347</v>
      </c>
      <c r="G532" s="312">
        <f>G533</f>
        <v>1193.4749900000002</v>
      </c>
      <c r="H532" s="312">
        <f>H533</f>
        <v>1124.7990300000001</v>
      </c>
      <c r="I532" s="329">
        <f t="shared" si="29"/>
        <v>94.24571435719822</v>
      </c>
    </row>
    <row r="533" spans="1:9" ht="60">
      <c r="A533" s="75" t="s">
        <v>633</v>
      </c>
      <c r="B533" s="97" t="s">
        <v>350</v>
      </c>
      <c r="C533" s="80" t="s">
        <v>329</v>
      </c>
      <c r="D533" s="80" t="s">
        <v>329</v>
      </c>
      <c r="E533" s="80" t="s">
        <v>262</v>
      </c>
      <c r="F533" s="80" t="s">
        <v>347</v>
      </c>
      <c r="G533" s="316">
        <f>G534+G537</f>
        <v>1193.4749900000002</v>
      </c>
      <c r="H533" s="316">
        <f>H534+H537</f>
        <v>1124.7990300000001</v>
      </c>
      <c r="I533" s="329">
        <f t="shared" si="29"/>
        <v>94.24571435719822</v>
      </c>
    </row>
    <row r="534" spans="1:9" ht="75">
      <c r="A534" s="29" t="s">
        <v>676</v>
      </c>
      <c r="B534" s="32" t="s">
        <v>350</v>
      </c>
      <c r="C534" s="54" t="s">
        <v>329</v>
      </c>
      <c r="D534" s="54" t="s">
        <v>329</v>
      </c>
      <c r="E534" s="54" t="s">
        <v>635</v>
      </c>
      <c r="F534" s="54" t="s">
        <v>347</v>
      </c>
      <c r="G534" s="312">
        <f>G535</f>
        <v>1182.227</v>
      </c>
      <c r="H534" s="312">
        <f>H535</f>
        <v>1113.55104</v>
      </c>
      <c r="I534" s="329">
        <f t="shared" si="29"/>
        <v>94.19096670943905</v>
      </c>
    </row>
    <row r="535" spans="1:9" ht="45">
      <c r="A535" s="29" t="s">
        <v>174</v>
      </c>
      <c r="B535" s="32" t="s">
        <v>350</v>
      </c>
      <c r="C535" s="54" t="s">
        <v>329</v>
      </c>
      <c r="D535" s="54" t="s">
        <v>329</v>
      </c>
      <c r="E535" s="54" t="s">
        <v>635</v>
      </c>
      <c r="F535" s="54" t="s">
        <v>175</v>
      </c>
      <c r="G535" s="312">
        <f>G536</f>
        <v>1182.227</v>
      </c>
      <c r="H535" s="312">
        <f>H536</f>
        <v>1113.55104</v>
      </c>
      <c r="I535" s="329">
        <f t="shared" si="29"/>
        <v>94.19096670943905</v>
      </c>
    </row>
    <row r="536" spans="1:9" ht="15">
      <c r="A536" s="29" t="s">
        <v>176</v>
      </c>
      <c r="B536" s="32" t="s">
        <v>350</v>
      </c>
      <c r="C536" s="54" t="s">
        <v>329</v>
      </c>
      <c r="D536" s="54" t="s">
        <v>329</v>
      </c>
      <c r="E536" s="54" t="s">
        <v>635</v>
      </c>
      <c r="F536" s="54" t="s">
        <v>240</v>
      </c>
      <c r="G536" s="312">
        <v>1182.227</v>
      </c>
      <c r="H536" s="107">
        <v>1113.55104</v>
      </c>
      <c r="I536" s="329">
        <f t="shared" si="29"/>
        <v>94.19096670943905</v>
      </c>
    </row>
    <row r="537" spans="1:9" ht="105">
      <c r="A537" s="29" t="s">
        <v>677</v>
      </c>
      <c r="B537" s="32" t="s">
        <v>350</v>
      </c>
      <c r="C537" s="54" t="s">
        <v>329</v>
      </c>
      <c r="D537" s="54" t="s">
        <v>329</v>
      </c>
      <c r="E537" s="54" t="s">
        <v>637</v>
      </c>
      <c r="F537" s="54" t="s">
        <v>347</v>
      </c>
      <c r="G537" s="312">
        <f>G538</f>
        <v>11.24799</v>
      </c>
      <c r="H537" s="312">
        <f>H538</f>
        <v>11.24799</v>
      </c>
      <c r="I537" s="329">
        <f t="shared" si="29"/>
        <v>100</v>
      </c>
    </row>
    <row r="538" spans="1:9" ht="45">
      <c r="A538" s="29" t="s">
        <v>174</v>
      </c>
      <c r="B538" s="32" t="s">
        <v>350</v>
      </c>
      <c r="C538" s="54" t="s">
        <v>329</v>
      </c>
      <c r="D538" s="54" t="s">
        <v>329</v>
      </c>
      <c r="E538" s="54" t="s">
        <v>637</v>
      </c>
      <c r="F538" s="54" t="s">
        <v>175</v>
      </c>
      <c r="G538" s="312">
        <f>G539</f>
        <v>11.24799</v>
      </c>
      <c r="H538" s="312">
        <f>H539</f>
        <v>11.24799</v>
      </c>
      <c r="I538" s="329">
        <f t="shared" si="29"/>
        <v>100</v>
      </c>
    </row>
    <row r="539" spans="1:9" ht="15">
      <c r="A539" s="29" t="s">
        <v>176</v>
      </c>
      <c r="B539" s="32" t="s">
        <v>350</v>
      </c>
      <c r="C539" s="54" t="s">
        <v>329</v>
      </c>
      <c r="D539" s="54" t="s">
        <v>329</v>
      </c>
      <c r="E539" s="54" t="s">
        <v>637</v>
      </c>
      <c r="F539" s="54" t="s">
        <v>240</v>
      </c>
      <c r="G539" s="312">
        <v>11.24799</v>
      </c>
      <c r="H539" s="312">
        <v>11.24799</v>
      </c>
      <c r="I539" s="329">
        <f t="shared" si="29"/>
        <v>100</v>
      </c>
    </row>
    <row r="540" spans="1:9" ht="30">
      <c r="A540" s="98" t="s">
        <v>396</v>
      </c>
      <c r="B540" s="32" t="s">
        <v>350</v>
      </c>
      <c r="C540" s="54" t="s">
        <v>329</v>
      </c>
      <c r="D540" s="54" t="s">
        <v>329</v>
      </c>
      <c r="E540" s="54" t="s">
        <v>60</v>
      </c>
      <c r="F540" s="54" t="s">
        <v>347</v>
      </c>
      <c r="G540" s="107">
        <f aca="true" t="shared" si="31" ref="G540:H542">G541</f>
        <v>1536.76455</v>
      </c>
      <c r="H540" s="107">
        <f t="shared" si="31"/>
        <v>1536.76455</v>
      </c>
      <c r="I540" s="329">
        <f t="shared" si="29"/>
        <v>100</v>
      </c>
    </row>
    <row r="541" spans="1:9" ht="71.25">
      <c r="A541" s="95" t="s">
        <v>632</v>
      </c>
      <c r="B541" s="344" t="s">
        <v>350</v>
      </c>
      <c r="C541" s="92" t="s">
        <v>329</v>
      </c>
      <c r="D541" s="92" t="s">
        <v>329</v>
      </c>
      <c r="E541" s="92" t="s">
        <v>60</v>
      </c>
      <c r="F541" s="92" t="s">
        <v>347</v>
      </c>
      <c r="G541" s="310">
        <f t="shared" si="31"/>
        <v>1536.76455</v>
      </c>
      <c r="H541" s="310">
        <f t="shared" si="31"/>
        <v>1536.76455</v>
      </c>
      <c r="I541" s="329">
        <f t="shared" si="29"/>
        <v>100</v>
      </c>
    </row>
    <row r="542" spans="1:9" ht="45">
      <c r="A542" s="61" t="s">
        <v>174</v>
      </c>
      <c r="B542" s="104" t="s">
        <v>350</v>
      </c>
      <c r="C542" s="54" t="s">
        <v>329</v>
      </c>
      <c r="D542" s="54" t="s">
        <v>329</v>
      </c>
      <c r="E542" s="54" t="s">
        <v>61</v>
      </c>
      <c r="F542" s="54" t="s">
        <v>175</v>
      </c>
      <c r="G542" s="107">
        <f t="shared" si="31"/>
        <v>1536.76455</v>
      </c>
      <c r="H542" s="107">
        <f t="shared" si="31"/>
        <v>1536.76455</v>
      </c>
      <c r="I542" s="329">
        <f t="shared" si="29"/>
        <v>100</v>
      </c>
    </row>
    <row r="543" spans="1:9" ht="15">
      <c r="A543" s="61" t="s">
        <v>176</v>
      </c>
      <c r="B543" s="104" t="s">
        <v>350</v>
      </c>
      <c r="C543" s="54" t="s">
        <v>329</v>
      </c>
      <c r="D543" s="54" t="s">
        <v>329</v>
      </c>
      <c r="E543" s="54" t="s">
        <v>61</v>
      </c>
      <c r="F543" s="54" t="s">
        <v>240</v>
      </c>
      <c r="G543" s="107">
        <v>1536.76455</v>
      </c>
      <c r="H543" s="107">
        <v>1536.76455</v>
      </c>
      <c r="I543" s="329">
        <f t="shared" si="29"/>
        <v>100</v>
      </c>
    </row>
    <row r="544" spans="1:9" ht="45" hidden="1">
      <c r="A544" s="61" t="s">
        <v>174</v>
      </c>
      <c r="B544" s="104" t="s">
        <v>350</v>
      </c>
      <c r="C544" s="54" t="s">
        <v>329</v>
      </c>
      <c r="D544" s="54" t="s">
        <v>329</v>
      </c>
      <c r="E544" s="54" t="s">
        <v>61</v>
      </c>
      <c r="F544" s="54" t="s">
        <v>175</v>
      </c>
      <c r="G544" s="107" t="e">
        <f>H544+I544</f>
        <v>#DIV/0!</v>
      </c>
      <c r="H544" s="318"/>
      <c r="I544" s="329" t="e">
        <f t="shared" si="29"/>
        <v>#DIV/0!</v>
      </c>
    </row>
    <row r="545" spans="1:9" ht="15" hidden="1">
      <c r="A545" s="61" t="s">
        <v>176</v>
      </c>
      <c r="B545" s="104" t="s">
        <v>350</v>
      </c>
      <c r="C545" s="54" t="s">
        <v>329</v>
      </c>
      <c r="D545" s="54" t="s">
        <v>329</v>
      </c>
      <c r="E545" s="54" t="s">
        <v>61</v>
      </c>
      <c r="F545" s="54" t="s">
        <v>240</v>
      </c>
      <c r="G545" s="107" t="e">
        <f>H545+I545</f>
        <v>#DIV/0!</v>
      </c>
      <c r="H545" s="318"/>
      <c r="I545" s="329" t="e">
        <f t="shared" si="29"/>
        <v>#DIV/0!</v>
      </c>
    </row>
    <row r="546" spans="1:12" ht="15">
      <c r="A546" s="353" t="s">
        <v>305</v>
      </c>
      <c r="B546" s="354" t="s">
        <v>350</v>
      </c>
      <c r="C546" s="302" t="s">
        <v>329</v>
      </c>
      <c r="D546" s="302" t="s">
        <v>314</v>
      </c>
      <c r="E546" s="302" t="s">
        <v>262</v>
      </c>
      <c r="F546" s="302" t="s">
        <v>347</v>
      </c>
      <c r="G546" s="338">
        <f>G547+G562+G570+G577</f>
        <v>42327.27293</v>
      </c>
      <c r="H546" s="338">
        <f>H547+H562+H570+H577</f>
        <v>40746.95618000001</v>
      </c>
      <c r="I546" s="336">
        <f t="shared" si="29"/>
        <v>96.2664338129851</v>
      </c>
      <c r="K546" s="53">
        <v>40746.95618</v>
      </c>
      <c r="L546" s="343">
        <f>K546-H546</f>
        <v>0</v>
      </c>
    </row>
    <row r="547" spans="1:9" ht="45">
      <c r="A547" s="75" t="s">
        <v>407</v>
      </c>
      <c r="B547" s="362" t="s">
        <v>350</v>
      </c>
      <c r="C547" s="80" t="s">
        <v>329</v>
      </c>
      <c r="D547" s="80" t="s">
        <v>314</v>
      </c>
      <c r="E547" s="80" t="s">
        <v>25</v>
      </c>
      <c r="F547" s="80" t="s">
        <v>347</v>
      </c>
      <c r="G547" s="115">
        <f>G548</f>
        <v>40646.57293</v>
      </c>
      <c r="H547" s="115">
        <f>H548</f>
        <v>39475.67136000001</v>
      </c>
      <c r="I547" s="329">
        <f t="shared" si="29"/>
        <v>97.11931047171805</v>
      </c>
    </row>
    <row r="548" spans="1:10" ht="30">
      <c r="A548" s="98" t="s">
        <v>213</v>
      </c>
      <c r="B548" s="104" t="s">
        <v>350</v>
      </c>
      <c r="C548" s="54" t="s">
        <v>329</v>
      </c>
      <c r="D548" s="54" t="s">
        <v>314</v>
      </c>
      <c r="E548" s="54" t="s">
        <v>63</v>
      </c>
      <c r="F548" s="54" t="s">
        <v>347</v>
      </c>
      <c r="G548" s="107">
        <f>G549+G557</f>
        <v>40646.57293</v>
      </c>
      <c r="H548" s="107">
        <f>H549+H557</f>
        <v>39475.67136000001</v>
      </c>
      <c r="I548" s="329">
        <f t="shared" si="29"/>
        <v>97.11931047171805</v>
      </c>
      <c r="J548" s="363"/>
    </row>
    <row r="549" spans="1:9" ht="43.5" customHeight="1">
      <c r="A549" s="29" t="s">
        <v>208</v>
      </c>
      <c r="B549" s="104" t="s">
        <v>350</v>
      </c>
      <c r="C549" s="54" t="s">
        <v>329</v>
      </c>
      <c r="D549" s="54" t="s">
        <v>314</v>
      </c>
      <c r="E549" s="54" t="s">
        <v>63</v>
      </c>
      <c r="F549" s="54" t="s">
        <v>347</v>
      </c>
      <c r="G549" s="107">
        <f>G550+G552+G554</f>
        <v>37740.64</v>
      </c>
      <c r="H549" s="107">
        <f>H550+H552+H554</f>
        <v>36569.738430000005</v>
      </c>
      <c r="I549" s="329">
        <f>G550</f>
        <v>31601</v>
      </c>
    </row>
    <row r="550" spans="1:9" ht="81" customHeight="1">
      <c r="A550" s="29" t="s">
        <v>148</v>
      </c>
      <c r="B550" s="104" t="s">
        <v>350</v>
      </c>
      <c r="C550" s="54" t="s">
        <v>329</v>
      </c>
      <c r="D550" s="54" t="s">
        <v>314</v>
      </c>
      <c r="E550" s="54" t="s">
        <v>63</v>
      </c>
      <c r="F550" s="54" t="s">
        <v>117</v>
      </c>
      <c r="G550" s="107">
        <f>G551</f>
        <v>31601</v>
      </c>
      <c r="H550" s="318">
        <f>H551</f>
        <v>31129.7776</v>
      </c>
      <c r="I550" s="329">
        <f t="shared" si="29"/>
        <v>98.50883706211829</v>
      </c>
    </row>
    <row r="551" spans="1:10" ht="30">
      <c r="A551" s="29" t="s">
        <v>164</v>
      </c>
      <c r="B551" s="104" t="s">
        <v>350</v>
      </c>
      <c r="C551" s="54" t="s">
        <v>329</v>
      </c>
      <c r="D551" s="54" t="s">
        <v>314</v>
      </c>
      <c r="E551" s="54" t="s">
        <v>63</v>
      </c>
      <c r="F551" s="54" t="s">
        <v>124</v>
      </c>
      <c r="G551" s="312">
        <v>31601</v>
      </c>
      <c r="H551" s="340">
        <v>31129.7776</v>
      </c>
      <c r="I551" s="329">
        <f t="shared" si="29"/>
        <v>98.50883706211829</v>
      </c>
      <c r="J551" s="343"/>
    </row>
    <row r="552" spans="1:9" ht="30">
      <c r="A552" s="29" t="s">
        <v>151</v>
      </c>
      <c r="B552" s="104" t="s">
        <v>350</v>
      </c>
      <c r="C552" s="54" t="s">
        <v>329</v>
      </c>
      <c r="D552" s="54" t="s">
        <v>314</v>
      </c>
      <c r="E552" s="54" t="s">
        <v>63</v>
      </c>
      <c r="F552" s="54" t="s">
        <v>121</v>
      </c>
      <c r="G552" s="107">
        <f>G553</f>
        <v>5950.44</v>
      </c>
      <c r="H552" s="107">
        <f>H553</f>
        <v>5277.68519</v>
      </c>
      <c r="I552" s="329">
        <f t="shared" si="29"/>
        <v>88.69403254213135</v>
      </c>
    </row>
    <row r="553" spans="1:9" ht="45">
      <c r="A553" s="61" t="s">
        <v>152</v>
      </c>
      <c r="B553" s="32" t="s">
        <v>350</v>
      </c>
      <c r="C553" s="54" t="s">
        <v>329</v>
      </c>
      <c r="D553" s="54" t="s">
        <v>314</v>
      </c>
      <c r="E553" s="54" t="s">
        <v>63</v>
      </c>
      <c r="F553" s="54" t="s">
        <v>153</v>
      </c>
      <c r="G553" s="107">
        <v>5950.44</v>
      </c>
      <c r="H553" s="107">
        <v>5277.68519</v>
      </c>
      <c r="I553" s="329">
        <f t="shared" si="29"/>
        <v>88.69403254213135</v>
      </c>
    </row>
    <row r="554" spans="1:9" ht="15">
      <c r="A554" s="29" t="s">
        <v>156</v>
      </c>
      <c r="B554" s="32" t="s">
        <v>350</v>
      </c>
      <c r="C554" s="54" t="s">
        <v>329</v>
      </c>
      <c r="D554" s="54" t="s">
        <v>314</v>
      </c>
      <c r="E554" s="54" t="s">
        <v>63</v>
      </c>
      <c r="F554" s="54" t="s">
        <v>157</v>
      </c>
      <c r="G554" s="107">
        <f>G556</f>
        <v>189.2</v>
      </c>
      <c r="H554" s="107">
        <f>H556</f>
        <v>162.27564</v>
      </c>
      <c r="I554" s="329">
        <f t="shared" si="29"/>
        <v>85.76936575052855</v>
      </c>
    </row>
    <row r="555" spans="1:9" ht="15" hidden="1">
      <c r="A555" s="29" t="s">
        <v>160</v>
      </c>
      <c r="B555" s="32" t="s">
        <v>350</v>
      </c>
      <c r="C555" s="54" t="s">
        <v>329</v>
      </c>
      <c r="D555" s="54" t="s">
        <v>314</v>
      </c>
      <c r="E555" s="54" t="s">
        <v>63</v>
      </c>
      <c r="F555" s="54" t="s">
        <v>161</v>
      </c>
      <c r="G555" s="107">
        <f>H555</f>
        <v>0</v>
      </c>
      <c r="H555" s="107"/>
      <c r="I555" s="329" t="e">
        <f t="shared" si="29"/>
        <v>#DIV/0!</v>
      </c>
    </row>
    <row r="556" spans="1:9" ht="15">
      <c r="A556" s="29" t="s">
        <v>154</v>
      </c>
      <c r="B556" s="32" t="s">
        <v>350</v>
      </c>
      <c r="C556" s="54" t="s">
        <v>329</v>
      </c>
      <c r="D556" s="54" t="s">
        <v>314</v>
      </c>
      <c r="E556" s="54" t="s">
        <v>63</v>
      </c>
      <c r="F556" s="54" t="s">
        <v>155</v>
      </c>
      <c r="G556" s="107">
        <v>189.2</v>
      </c>
      <c r="H556" s="107">
        <v>162.27564</v>
      </c>
      <c r="I556" s="329">
        <f t="shared" si="29"/>
        <v>85.76936575052855</v>
      </c>
    </row>
    <row r="557" spans="1:9" ht="63" customHeight="1">
      <c r="A557" s="98" t="s">
        <v>462</v>
      </c>
      <c r="B557" s="32" t="s">
        <v>350</v>
      </c>
      <c r="C557" s="54" t="s">
        <v>329</v>
      </c>
      <c r="D557" s="54" t="s">
        <v>314</v>
      </c>
      <c r="E557" s="54" t="s">
        <v>63</v>
      </c>
      <c r="F557" s="54" t="s">
        <v>347</v>
      </c>
      <c r="G557" s="107">
        <f>G558</f>
        <v>2905.93293</v>
      </c>
      <c r="H557" s="107">
        <f>H558</f>
        <v>2905.93293</v>
      </c>
      <c r="I557" s="329">
        <f t="shared" si="29"/>
        <v>100</v>
      </c>
    </row>
    <row r="558" spans="1:9" ht="90">
      <c r="A558" s="29" t="s">
        <v>148</v>
      </c>
      <c r="B558" s="32" t="s">
        <v>350</v>
      </c>
      <c r="C558" s="54" t="s">
        <v>329</v>
      </c>
      <c r="D558" s="54" t="s">
        <v>314</v>
      </c>
      <c r="E558" s="54" t="s">
        <v>63</v>
      </c>
      <c r="F558" s="54" t="s">
        <v>117</v>
      </c>
      <c r="G558" s="107">
        <f>G559</f>
        <v>2905.93293</v>
      </c>
      <c r="H558" s="107">
        <f>H559</f>
        <v>2905.93293</v>
      </c>
      <c r="I558" s="329">
        <f t="shared" si="29"/>
        <v>100</v>
      </c>
    </row>
    <row r="559" spans="1:9" ht="30">
      <c r="A559" s="29" t="s">
        <v>164</v>
      </c>
      <c r="B559" s="32" t="s">
        <v>350</v>
      </c>
      <c r="C559" s="54" t="s">
        <v>329</v>
      </c>
      <c r="D559" s="54" t="s">
        <v>314</v>
      </c>
      <c r="E559" s="54" t="s">
        <v>63</v>
      </c>
      <c r="F559" s="54" t="s">
        <v>124</v>
      </c>
      <c r="G559" s="107">
        <v>2905.93293</v>
      </c>
      <c r="H559" s="107">
        <v>2905.93293</v>
      </c>
      <c r="I559" s="329">
        <f>H559/G559*100</f>
        <v>100</v>
      </c>
    </row>
    <row r="560" spans="1:9" ht="30" hidden="1">
      <c r="A560" s="29" t="s">
        <v>151</v>
      </c>
      <c r="B560" s="32" t="s">
        <v>350</v>
      </c>
      <c r="C560" s="54" t="s">
        <v>329</v>
      </c>
      <c r="D560" s="54" t="s">
        <v>314</v>
      </c>
      <c r="E560" s="54" t="s">
        <v>63</v>
      </c>
      <c r="F560" s="54" t="s">
        <v>121</v>
      </c>
      <c r="G560" s="107">
        <f>H560</f>
        <v>0</v>
      </c>
      <c r="H560" s="107">
        <f>H561</f>
        <v>0</v>
      </c>
      <c r="I560" s="329" t="e">
        <f aca="true" t="shared" si="32" ref="I560:I622">H560/G560*100</f>
        <v>#DIV/0!</v>
      </c>
    </row>
    <row r="561" spans="1:9" ht="45" hidden="1">
      <c r="A561" s="61" t="s">
        <v>152</v>
      </c>
      <c r="B561" s="32" t="s">
        <v>350</v>
      </c>
      <c r="C561" s="54" t="s">
        <v>329</v>
      </c>
      <c r="D561" s="54" t="s">
        <v>314</v>
      </c>
      <c r="E561" s="54" t="s">
        <v>63</v>
      </c>
      <c r="F561" s="54" t="s">
        <v>153</v>
      </c>
      <c r="G561" s="107">
        <f>H561</f>
        <v>0</v>
      </c>
      <c r="H561" s="107">
        <f>116-30-6-80</f>
        <v>0</v>
      </c>
      <c r="I561" s="329" t="e">
        <f t="shared" si="32"/>
        <v>#DIV/0!</v>
      </c>
    </row>
    <row r="562" spans="1:9" ht="60">
      <c r="A562" s="75" t="s">
        <v>409</v>
      </c>
      <c r="B562" s="362" t="s">
        <v>350</v>
      </c>
      <c r="C562" s="80" t="s">
        <v>329</v>
      </c>
      <c r="D562" s="80" t="s">
        <v>314</v>
      </c>
      <c r="E562" s="80" t="s">
        <v>65</v>
      </c>
      <c r="F562" s="80" t="s">
        <v>347</v>
      </c>
      <c r="G562" s="115">
        <f>G563+G568</f>
        <v>688</v>
      </c>
      <c r="H562" s="115">
        <f>H563+H568</f>
        <v>278.58482000000004</v>
      </c>
      <c r="I562" s="329">
        <f t="shared" si="32"/>
        <v>40.491979651162794</v>
      </c>
    </row>
    <row r="563" spans="1:9" ht="15">
      <c r="A563" s="29" t="s">
        <v>339</v>
      </c>
      <c r="B563" s="104" t="s">
        <v>350</v>
      </c>
      <c r="C563" s="54" t="s">
        <v>329</v>
      </c>
      <c r="D563" s="54" t="s">
        <v>314</v>
      </c>
      <c r="E563" s="54" t="s">
        <v>66</v>
      </c>
      <c r="F563" s="54" t="s">
        <v>347</v>
      </c>
      <c r="G563" s="107">
        <f>G564+G566</f>
        <v>438</v>
      </c>
      <c r="H563" s="318">
        <f>H564+H567</f>
        <v>164.54185</v>
      </c>
      <c r="I563" s="329">
        <f t="shared" si="32"/>
        <v>37.56663242009133</v>
      </c>
    </row>
    <row r="564" spans="1:9" ht="90">
      <c r="A564" s="29" t="s">
        <v>148</v>
      </c>
      <c r="B564" s="32" t="s">
        <v>350</v>
      </c>
      <c r="C564" s="54" t="s">
        <v>329</v>
      </c>
      <c r="D564" s="54" t="s">
        <v>314</v>
      </c>
      <c r="E564" s="54" t="s">
        <v>67</v>
      </c>
      <c r="F564" s="54" t="s">
        <v>117</v>
      </c>
      <c r="G564" s="312">
        <f>G565</f>
        <v>2.31083</v>
      </c>
      <c r="H564" s="312">
        <f>H565</f>
        <v>2.31083</v>
      </c>
      <c r="I564" s="329">
        <f t="shared" si="32"/>
        <v>100</v>
      </c>
    </row>
    <row r="565" spans="1:9" ht="30">
      <c r="A565" s="29" t="s">
        <v>164</v>
      </c>
      <c r="B565" s="32" t="s">
        <v>350</v>
      </c>
      <c r="C565" s="54" t="s">
        <v>329</v>
      </c>
      <c r="D565" s="54" t="s">
        <v>314</v>
      </c>
      <c r="E565" s="54" t="s">
        <v>67</v>
      </c>
      <c r="F565" s="54" t="s">
        <v>124</v>
      </c>
      <c r="G565" s="312">
        <v>2.31083</v>
      </c>
      <c r="H565" s="312">
        <v>2.31083</v>
      </c>
      <c r="I565" s="329">
        <f t="shared" si="32"/>
        <v>100</v>
      </c>
    </row>
    <row r="566" spans="1:9" ht="30">
      <c r="A566" s="29" t="s">
        <v>151</v>
      </c>
      <c r="B566" s="104" t="s">
        <v>350</v>
      </c>
      <c r="C566" s="54" t="s">
        <v>329</v>
      </c>
      <c r="D566" s="54" t="s">
        <v>314</v>
      </c>
      <c r="E566" s="54" t="s">
        <v>67</v>
      </c>
      <c r="F566" s="54" t="s">
        <v>121</v>
      </c>
      <c r="G566" s="107">
        <f>G567</f>
        <v>435.68917</v>
      </c>
      <c r="H566" s="107">
        <f>H567</f>
        <v>162.23102</v>
      </c>
      <c r="I566" s="329">
        <f t="shared" si="32"/>
        <v>37.23549520406945</v>
      </c>
    </row>
    <row r="567" spans="1:9" ht="45">
      <c r="A567" s="61" t="s">
        <v>152</v>
      </c>
      <c r="B567" s="104" t="s">
        <v>350</v>
      </c>
      <c r="C567" s="54" t="s">
        <v>329</v>
      </c>
      <c r="D567" s="54" t="s">
        <v>314</v>
      </c>
      <c r="E567" s="54" t="s">
        <v>67</v>
      </c>
      <c r="F567" s="54" t="s">
        <v>153</v>
      </c>
      <c r="G567" s="107">
        <v>435.68917</v>
      </c>
      <c r="H567" s="107">
        <v>162.23102</v>
      </c>
      <c r="I567" s="329">
        <f t="shared" si="32"/>
        <v>37.23549520406945</v>
      </c>
    </row>
    <row r="568" spans="1:9" ht="45">
      <c r="A568" s="29" t="s">
        <v>174</v>
      </c>
      <c r="B568" s="104" t="s">
        <v>350</v>
      </c>
      <c r="C568" s="54" t="s">
        <v>329</v>
      </c>
      <c r="D568" s="54" t="s">
        <v>314</v>
      </c>
      <c r="E568" s="54" t="s">
        <v>66</v>
      </c>
      <c r="F568" s="54" t="s">
        <v>175</v>
      </c>
      <c r="G568" s="107">
        <f>G569</f>
        <v>250</v>
      </c>
      <c r="H568" s="318">
        <f>H569</f>
        <v>114.04297</v>
      </c>
      <c r="I568" s="329">
        <f t="shared" si="32"/>
        <v>45.617188</v>
      </c>
    </row>
    <row r="569" spans="1:9" ht="30">
      <c r="A569" s="29" t="s">
        <v>99</v>
      </c>
      <c r="B569" s="104" t="s">
        <v>350</v>
      </c>
      <c r="C569" s="54" t="s">
        <v>329</v>
      </c>
      <c r="D569" s="54" t="s">
        <v>314</v>
      </c>
      <c r="E569" s="54" t="s">
        <v>68</v>
      </c>
      <c r="F569" s="54" t="s">
        <v>240</v>
      </c>
      <c r="G569" s="107">
        <v>250</v>
      </c>
      <c r="H569" s="318">
        <v>114.04297</v>
      </c>
      <c r="I569" s="329">
        <f t="shared" si="32"/>
        <v>45.617188</v>
      </c>
    </row>
    <row r="570" spans="1:9" ht="45" customHeight="1">
      <c r="A570" s="75" t="s">
        <v>410</v>
      </c>
      <c r="B570" s="362" t="s">
        <v>350</v>
      </c>
      <c r="C570" s="80" t="s">
        <v>329</v>
      </c>
      <c r="D570" s="80" t="s">
        <v>314</v>
      </c>
      <c r="E570" s="80" t="s">
        <v>32</v>
      </c>
      <c r="F570" s="80" t="s">
        <v>347</v>
      </c>
      <c r="G570" s="115">
        <f aca="true" t="shared" si="33" ref="G570:H572">G571</f>
        <v>46</v>
      </c>
      <c r="H570" s="115">
        <f t="shared" si="33"/>
        <v>46</v>
      </c>
      <c r="I570" s="329">
        <f t="shared" si="32"/>
        <v>100</v>
      </c>
    </row>
    <row r="571" spans="1:9" ht="15">
      <c r="A571" s="29" t="s">
        <v>339</v>
      </c>
      <c r="B571" s="104" t="s">
        <v>350</v>
      </c>
      <c r="C571" s="54" t="s">
        <v>329</v>
      </c>
      <c r="D571" s="54" t="s">
        <v>314</v>
      </c>
      <c r="E571" s="54" t="s">
        <v>33</v>
      </c>
      <c r="F571" s="54" t="s">
        <v>347</v>
      </c>
      <c r="G571" s="107">
        <f t="shared" si="33"/>
        <v>46</v>
      </c>
      <c r="H571" s="107">
        <f t="shared" si="33"/>
        <v>46</v>
      </c>
      <c r="I571" s="329">
        <f t="shared" si="32"/>
        <v>100</v>
      </c>
    </row>
    <row r="572" spans="1:9" ht="30">
      <c r="A572" s="29" t="s">
        <v>151</v>
      </c>
      <c r="B572" s="104" t="s">
        <v>350</v>
      </c>
      <c r="C572" s="54" t="s">
        <v>329</v>
      </c>
      <c r="D572" s="54" t="s">
        <v>314</v>
      </c>
      <c r="E572" s="54" t="s">
        <v>33</v>
      </c>
      <c r="F572" s="54" t="s">
        <v>121</v>
      </c>
      <c r="G572" s="107">
        <f t="shared" si="33"/>
        <v>46</v>
      </c>
      <c r="H572" s="107">
        <f t="shared" si="33"/>
        <v>46</v>
      </c>
      <c r="I572" s="329">
        <f t="shared" si="32"/>
        <v>100</v>
      </c>
    </row>
    <row r="573" spans="1:9" ht="45">
      <c r="A573" s="61" t="s">
        <v>152</v>
      </c>
      <c r="B573" s="104" t="s">
        <v>350</v>
      </c>
      <c r="C573" s="54" t="s">
        <v>329</v>
      </c>
      <c r="D573" s="54" t="s">
        <v>314</v>
      </c>
      <c r="E573" s="54" t="s">
        <v>69</v>
      </c>
      <c r="F573" s="54" t="s">
        <v>153</v>
      </c>
      <c r="G573" s="107">
        <v>46</v>
      </c>
      <c r="H573" s="107">
        <v>46</v>
      </c>
      <c r="I573" s="329">
        <f t="shared" si="32"/>
        <v>100</v>
      </c>
    </row>
    <row r="574" spans="1:9" ht="45" customHeight="1" hidden="1">
      <c r="A574" s="75" t="s">
        <v>237</v>
      </c>
      <c r="B574" s="97" t="s">
        <v>350</v>
      </c>
      <c r="C574" s="80" t="s">
        <v>329</v>
      </c>
      <c r="D574" s="80" t="s">
        <v>314</v>
      </c>
      <c r="E574" s="80" t="s">
        <v>35</v>
      </c>
      <c r="F574" s="80" t="s">
        <v>347</v>
      </c>
      <c r="G574" s="115" t="e">
        <f>H574+I574</f>
        <v>#DIV/0!</v>
      </c>
      <c r="H574" s="115">
        <f>H575</f>
        <v>0</v>
      </c>
      <c r="I574" s="329" t="e">
        <f t="shared" si="32"/>
        <v>#DIV/0!</v>
      </c>
    </row>
    <row r="575" spans="1:9" ht="30" hidden="1">
      <c r="A575" s="103" t="s">
        <v>151</v>
      </c>
      <c r="B575" s="104" t="s">
        <v>350</v>
      </c>
      <c r="C575" s="40" t="s">
        <v>329</v>
      </c>
      <c r="D575" s="40" t="s">
        <v>314</v>
      </c>
      <c r="E575" s="54" t="s">
        <v>456</v>
      </c>
      <c r="F575" s="40" t="s">
        <v>121</v>
      </c>
      <c r="G575" s="318" t="e">
        <f>H575+I575</f>
        <v>#DIV/0!</v>
      </c>
      <c r="H575" s="318">
        <f>H576</f>
        <v>0</v>
      </c>
      <c r="I575" s="329" t="e">
        <f t="shared" si="32"/>
        <v>#DIV/0!</v>
      </c>
    </row>
    <row r="576" spans="1:9" ht="45" hidden="1">
      <c r="A576" s="105" t="s">
        <v>152</v>
      </c>
      <c r="B576" s="104" t="s">
        <v>350</v>
      </c>
      <c r="C576" s="40" t="s">
        <v>329</v>
      </c>
      <c r="D576" s="40" t="s">
        <v>314</v>
      </c>
      <c r="E576" s="54" t="s">
        <v>456</v>
      </c>
      <c r="F576" s="40" t="s">
        <v>153</v>
      </c>
      <c r="G576" s="318">
        <f>H576+I576</f>
        <v>0</v>
      </c>
      <c r="H576" s="318"/>
      <c r="I576" s="329" t="e">
        <f t="shared" si="32"/>
        <v>#DIV/0!</v>
      </c>
    </row>
    <row r="577" spans="1:9" ht="83.25" customHeight="1">
      <c r="A577" s="76" t="s">
        <v>453</v>
      </c>
      <c r="B577" s="97" t="s">
        <v>350</v>
      </c>
      <c r="C577" s="80" t="s">
        <v>329</v>
      </c>
      <c r="D577" s="80" t="s">
        <v>314</v>
      </c>
      <c r="E577" s="80" t="s">
        <v>262</v>
      </c>
      <c r="F577" s="80" t="s">
        <v>347</v>
      </c>
      <c r="G577" s="115">
        <f>G578</f>
        <v>946.7</v>
      </c>
      <c r="H577" s="115">
        <f>H578</f>
        <v>946.7</v>
      </c>
      <c r="I577" s="329">
        <f t="shared" si="32"/>
        <v>100</v>
      </c>
    </row>
    <row r="578" spans="1:9" ht="50.25" customHeight="1">
      <c r="A578" s="29" t="s">
        <v>174</v>
      </c>
      <c r="B578" s="104" t="s">
        <v>350</v>
      </c>
      <c r="C578" s="40" t="s">
        <v>329</v>
      </c>
      <c r="D578" s="40" t="s">
        <v>314</v>
      </c>
      <c r="E578" s="54" t="s">
        <v>452</v>
      </c>
      <c r="F578" s="54" t="s">
        <v>175</v>
      </c>
      <c r="G578" s="318">
        <f>G579</f>
        <v>946.7</v>
      </c>
      <c r="H578" s="318">
        <f>H579</f>
        <v>946.7</v>
      </c>
      <c r="I578" s="329">
        <f t="shared" si="32"/>
        <v>100</v>
      </c>
    </row>
    <row r="579" spans="1:9" ht="33.75" customHeight="1">
      <c r="A579" s="29" t="s">
        <v>99</v>
      </c>
      <c r="B579" s="104" t="s">
        <v>350</v>
      </c>
      <c r="C579" s="40" t="s">
        <v>329</v>
      </c>
      <c r="D579" s="40" t="s">
        <v>314</v>
      </c>
      <c r="E579" s="54" t="s">
        <v>452</v>
      </c>
      <c r="F579" s="54" t="s">
        <v>240</v>
      </c>
      <c r="G579" s="318">
        <v>946.7</v>
      </c>
      <c r="H579" s="318">
        <v>946.7</v>
      </c>
      <c r="I579" s="329">
        <f t="shared" si="32"/>
        <v>100</v>
      </c>
    </row>
    <row r="580" spans="1:12" ht="15">
      <c r="A580" s="353" t="s">
        <v>180</v>
      </c>
      <c r="B580" s="354" t="s">
        <v>350</v>
      </c>
      <c r="C580" s="302" t="s">
        <v>181</v>
      </c>
      <c r="D580" s="302" t="s">
        <v>113</v>
      </c>
      <c r="E580" s="302" t="s">
        <v>262</v>
      </c>
      <c r="F580" s="302" t="s">
        <v>347</v>
      </c>
      <c r="G580" s="338">
        <f>G581+G585</f>
        <v>3246.48988</v>
      </c>
      <c r="H580" s="338">
        <f>H581+H585</f>
        <v>2820.8217499999996</v>
      </c>
      <c r="I580" s="336">
        <f t="shared" si="32"/>
        <v>86.88835801946192</v>
      </c>
      <c r="L580" s="343"/>
    </row>
    <row r="581" spans="1:9" ht="15">
      <c r="A581" s="99" t="s">
        <v>516</v>
      </c>
      <c r="B581" s="347" t="s">
        <v>350</v>
      </c>
      <c r="C581" s="108" t="s">
        <v>181</v>
      </c>
      <c r="D581" s="108" t="s">
        <v>119</v>
      </c>
      <c r="E581" s="108" t="s">
        <v>262</v>
      </c>
      <c r="F581" s="108" t="s">
        <v>347</v>
      </c>
      <c r="G581" s="310">
        <f aca="true" t="shared" si="34" ref="G581:H583">G582</f>
        <v>580</v>
      </c>
      <c r="H581" s="310">
        <f t="shared" si="34"/>
        <v>555</v>
      </c>
      <c r="I581" s="329">
        <f t="shared" si="32"/>
        <v>95.6896551724138</v>
      </c>
    </row>
    <row r="582" spans="1:9" ht="99" customHeight="1">
      <c r="A582" s="75" t="s">
        <v>491</v>
      </c>
      <c r="B582" s="32" t="s">
        <v>350</v>
      </c>
      <c r="C582" s="54" t="s">
        <v>181</v>
      </c>
      <c r="D582" s="54" t="s">
        <v>119</v>
      </c>
      <c r="E582" s="80" t="s">
        <v>43</v>
      </c>
      <c r="F582" s="80" t="s">
        <v>347</v>
      </c>
      <c r="G582" s="316">
        <f t="shared" si="34"/>
        <v>580</v>
      </c>
      <c r="H582" s="316">
        <f t="shared" si="34"/>
        <v>555</v>
      </c>
      <c r="I582" s="329">
        <f t="shared" si="32"/>
        <v>95.6896551724138</v>
      </c>
    </row>
    <row r="583" spans="1:9" ht="30">
      <c r="A583" s="29" t="s">
        <v>165</v>
      </c>
      <c r="B583" s="32" t="s">
        <v>350</v>
      </c>
      <c r="C583" s="54" t="s">
        <v>181</v>
      </c>
      <c r="D583" s="54" t="s">
        <v>119</v>
      </c>
      <c r="E583" s="54" t="s">
        <v>642</v>
      </c>
      <c r="F583" s="54" t="s">
        <v>122</v>
      </c>
      <c r="G583" s="312">
        <f t="shared" si="34"/>
        <v>580</v>
      </c>
      <c r="H583" s="312">
        <f t="shared" si="34"/>
        <v>555</v>
      </c>
      <c r="I583" s="329">
        <f t="shared" si="32"/>
        <v>95.6896551724138</v>
      </c>
    </row>
    <row r="584" spans="1:9" ht="30">
      <c r="A584" s="29" t="s">
        <v>168</v>
      </c>
      <c r="B584" s="32" t="s">
        <v>350</v>
      </c>
      <c r="C584" s="54" t="s">
        <v>181</v>
      </c>
      <c r="D584" s="54" t="s">
        <v>119</v>
      </c>
      <c r="E584" s="54" t="s">
        <v>642</v>
      </c>
      <c r="F584" s="54" t="s">
        <v>169</v>
      </c>
      <c r="G584" s="312">
        <v>580</v>
      </c>
      <c r="H584" s="107">
        <v>555</v>
      </c>
      <c r="I584" s="329">
        <f t="shared" si="32"/>
        <v>95.6896551724138</v>
      </c>
    </row>
    <row r="585" spans="1:9" ht="15">
      <c r="A585" s="99" t="s">
        <v>340</v>
      </c>
      <c r="B585" s="347" t="s">
        <v>350</v>
      </c>
      <c r="C585" s="108" t="s">
        <v>181</v>
      </c>
      <c r="D585" s="108" t="s">
        <v>123</v>
      </c>
      <c r="E585" s="108" t="s">
        <v>262</v>
      </c>
      <c r="F585" s="108" t="s">
        <v>347</v>
      </c>
      <c r="G585" s="109">
        <f>G586</f>
        <v>2666.48988</v>
      </c>
      <c r="H585" s="109">
        <f>H586</f>
        <v>2265.8217499999996</v>
      </c>
      <c r="I585" s="329">
        <f t="shared" si="32"/>
        <v>84.97394897294714</v>
      </c>
    </row>
    <row r="586" spans="1:9" ht="45">
      <c r="A586" s="75" t="s">
        <v>407</v>
      </c>
      <c r="B586" s="362" t="s">
        <v>350</v>
      </c>
      <c r="C586" s="80" t="s">
        <v>181</v>
      </c>
      <c r="D586" s="80" t="s">
        <v>113</v>
      </c>
      <c r="E586" s="80" t="s">
        <v>25</v>
      </c>
      <c r="F586" s="80" t="s">
        <v>347</v>
      </c>
      <c r="G586" s="107">
        <f>G587+G591</f>
        <v>2666.48988</v>
      </c>
      <c r="H586" s="107">
        <f>H587+H591</f>
        <v>2265.8217499999996</v>
      </c>
      <c r="I586" s="329">
        <f t="shared" si="32"/>
        <v>84.97394897294714</v>
      </c>
    </row>
    <row r="587" spans="1:9" ht="45">
      <c r="A587" s="98" t="s">
        <v>209</v>
      </c>
      <c r="B587" s="104" t="s">
        <v>350</v>
      </c>
      <c r="C587" s="54" t="s">
        <v>181</v>
      </c>
      <c r="D587" s="54" t="s">
        <v>123</v>
      </c>
      <c r="E587" s="54" t="s">
        <v>38</v>
      </c>
      <c r="F587" s="54" t="s">
        <v>347</v>
      </c>
      <c r="G587" s="107">
        <f>G588</f>
        <v>2456.15024</v>
      </c>
      <c r="H587" s="107">
        <f>H588</f>
        <v>2164.62175</v>
      </c>
      <c r="I587" s="329">
        <f t="shared" si="32"/>
        <v>88.13067355358521</v>
      </c>
    </row>
    <row r="588" spans="1:9" ht="75">
      <c r="A588" s="29" t="s">
        <v>183</v>
      </c>
      <c r="B588" s="32" t="s">
        <v>350</v>
      </c>
      <c r="C588" s="54" t="s">
        <v>181</v>
      </c>
      <c r="D588" s="54" t="s">
        <v>123</v>
      </c>
      <c r="E588" s="54" t="s">
        <v>84</v>
      </c>
      <c r="F588" s="54" t="s">
        <v>347</v>
      </c>
      <c r="G588" s="107">
        <f>G589+G590</f>
        <v>2456.15024</v>
      </c>
      <c r="H588" s="107">
        <f>H589+H590</f>
        <v>2164.62175</v>
      </c>
      <c r="I588" s="329">
        <f t="shared" si="32"/>
        <v>88.13067355358521</v>
      </c>
    </row>
    <row r="589" spans="1:9" ht="45">
      <c r="A589" s="61" t="s">
        <v>152</v>
      </c>
      <c r="B589" s="32" t="s">
        <v>350</v>
      </c>
      <c r="C589" s="54" t="s">
        <v>181</v>
      </c>
      <c r="D589" s="54" t="s">
        <v>123</v>
      </c>
      <c r="E589" s="54" t="s">
        <v>84</v>
      </c>
      <c r="F589" s="54" t="s">
        <v>153</v>
      </c>
      <c r="G589" s="107">
        <v>36.84226</v>
      </c>
      <c r="H589" s="107">
        <v>30.71602</v>
      </c>
      <c r="I589" s="329">
        <f t="shared" si="32"/>
        <v>83.37170412455696</v>
      </c>
    </row>
    <row r="590" spans="1:9" ht="30">
      <c r="A590" s="345" t="s">
        <v>166</v>
      </c>
      <c r="B590" s="32" t="s">
        <v>350</v>
      </c>
      <c r="C590" s="54" t="s">
        <v>181</v>
      </c>
      <c r="D590" s="54" t="s">
        <v>123</v>
      </c>
      <c r="E590" s="54" t="s">
        <v>84</v>
      </c>
      <c r="F590" s="366">
        <v>310</v>
      </c>
      <c r="G590" s="107">
        <v>2419.30798</v>
      </c>
      <c r="H590" s="107">
        <v>2133.90573</v>
      </c>
      <c r="I590" s="329">
        <f t="shared" si="32"/>
        <v>88.20314518203672</v>
      </c>
    </row>
    <row r="591" spans="1:9" ht="45">
      <c r="A591" s="75" t="s">
        <v>408</v>
      </c>
      <c r="B591" s="32" t="s">
        <v>350</v>
      </c>
      <c r="C591" s="54" t="s">
        <v>181</v>
      </c>
      <c r="D591" s="54" t="s">
        <v>123</v>
      </c>
      <c r="E591" s="80" t="s">
        <v>25</v>
      </c>
      <c r="F591" s="80" t="s">
        <v>347</v>
      </c>
      <c r="G591" s="107">
        <f aca="true" t="shared" si="35" ref="G591:H594">G592</f>
        <v>210.33964</v>
      </c>
      <c r="H591" s="107">
        <f t="shared" si="35"/>
        <v>101.2</v>
      </c>
      <c r="I591" s="329">
        <f t="shared" si="32"/>
        <v>48.112661978502956</v>
      </c>
    </row>
    <row r="592" spans="1:9" ht="30">
      <c r="A592" s="98" t="s">
        <v>396</v>
      </c>
      <c r="B592" s="32" t="s">
        <v>350</v>
      </c>
      <c r="C592" s="54" t="s">
        <v>181</v>
      </c>
      <c r="D592" s="54" t="s">
        <v>123</v>
      </c>
      <c r="E592" s="54" t="s">
        <v>60</v>
      </c>
      <c r="F592" s="54" t="s">
        <v>347</v>
      </c>
      <c r="G592" s="107">
        <f t="shared" si="35"/>
        <v>210.33964</v>
      </c>
      <c r="H592" s="107">
        <f t="shared" si="35"/>
        <v>101.2</v>
      </c>
      <c r="I592" s="329">
        <f t="shared" si="32"/>
        <v>48.112661978502956</v>
      </c>
    </row>
    <row r="593" spans="1:9" ht="71.25">
      <c r="A593" s="95" t="s">
        <v>632</v>
      </c>
      <c r="B593" s="344" t="s">
        <v>350</v>
      </c>
      <c r="C593" s="92" t="s">
        <v>181</v>
      </c>
      <c r="D593" s="92" t="s">
        <v>123</v>
      </c>
      <c r="E593" s="92" t="s">
        <v>60</v>
      </c>
      <c r="F593" s="92" t="s">
        <v>347</v>
      </c>
      <c r="G593" s="310">
        <f t="shared" si="35"/>
        <v>210.33964</v>
      </c>
      <c r="H593" s="310">
        <f t="shared" si="35"/>
        <v>101.2</v>
      </c>
      <c r="I593" s="329">
        <f t="shared" si="32"/>
        <v>48.112661978502956</v>
      </c>
    </row>
    <row r="594" spans="1:9" ht="30">
      <c r="A594" s="61" t="s">
        <v>165</v>
      </c>
      <c r="B594" s="104" t="s">
        <v>350</v>
      </c>
      <c r="C594" s="54" t="s">
        <v>181</v>
      </c>
      <c r="D594" s="54" t="s">
        <v>123</v>
      </c>
      <c r="E594" s="54" t="s">
        <v>61</v>
      </c>
      <c r="F594" s="54" t="s">
        <v>122</v>
      </c>
      <c r="G594" s="107">
        <f t="shared" si="35"/>
        <v>210.33964</v>
      </c>
      <c r="H594" s="318">
        <f t="shared" si="35"/>
        <v>101.2</v>
      </c>
      <c r="I594" s="329">
        <f t="shared" si="32"/>
        <v>48.112661978502956</v>
      </c>
    </row>
    <row r="595" spans="1:9" ht="33" customHeight="1">
      <c r="A595" s="61" t="s">
        <v>166</v>
      </c>
      <c r="B595" s="32" t="s">
        <v>350</v>
      </c>
      <c r="C595" s="54" t="s">
        <v>181</v>
      </c>
      <c r="D595" s="54" t="s">
        <v>123</v>
      </c>
      <c r="E595" s="54" t="s">
        <v>61</v>
      </c>
      <c r="F595" s="54" t="s">
        <v>167</v>
      </c>
      <c r="G595" s="107">
        <v>210.33964</v>
      </c>
      <c r="H595" s="107">
        <v>101.2</v>
      </c>
      <c r="I595" s="329">
        <f t="shared" si="32"/>
        <v>48.112661978502956</v>
      </c>
    </row>
    <row r="596" spans="1:9" ht="17.25" customHeight="1">
      <c r="A596" s="353" t="s">
        <v>184</v>
      </c>
      <c r="B596" s="372" t="s">
        <v>350</v>
      </c>
      <c r="C596" s="302" t="s">
        <v>130</v>
      </c>
      <c r="D596" s="302" t="s">
        <v>113</v>
      </c>
      <c r="E596" s="302" t="s">
        <v>262</v>
      </c>
      <c r="F596" s="302" t="s">
        <v>347</v>
      </c>
      <c r="G596" s="338">
        <f>G604</f>
        <v>3048.9368999999997</v>
      </c>
      <c r="H596" s="338">
        <f>H604</f>
        <v>3048.9368999999997</v>
      </c>
      <c r="I596" s="336">
        <f t="shared" si="32"/>
        <v>100</v>
      </c>
    </row>
    <row r="597" spans="1:9" ht="30.75" customHeight="1" hidden="1">
      <c r="A597" s="95" t="s">
        <v>652</v>
      </c>
      <c r="B597" s="32" t="s">
        <v>350</v>
      </c>
      <c r="C597" s="92" t="s">
        <v>130</v>
      </c>
      <c r="D597" s="92" t="s">
        <v>114</v>
      </c>
      <c r="E597" s="92" t="s">
        <v>85</v>
      </c>
      <c r="F597" s="92" t="s">
        <v>347</v>
      </c>
      <c r="G597" s="320">
        <f>H597+I597</f>
        <v>0</v>
      </c>
      <c r="H597" s="310">
        <f>H601</f>
        <v>0</v>
      </c>
      <c r="I597" s="329" t="e">
        <f t="shared" si="32"/>
        <v>#DIV/0!</v>
      </c>
    </row>
    <row r="598" spans="1:9" ht="56.25" customHeight="1" hidden="1">
      <c r="A598" s="76" t="s">
        <v>678</v>
      </c>
      <c r="B598" s="32" t="s">
        <v>350</v>
      </c>
      <c r="C598" s="80" t="s">
        <v>130</v>
      </c>
      <c r="D598" s="80" t="s">
        <v>114</v>
      </c>
      <c r="E598" s="54" t="s">
        <v>654</v>
      </c>
      <c r="F598" s="54" t="s">
        <v>347</v>
      </c>
      <c r="G598" s="316">
        <f>I598</f>
        <v>0</v>
      </c>
      <c r="H598" s="115"/>
      <c r="I598" s="329" t="e">
        <f t="shared" si="32"/>
        <v>#DIV/0!</v>
      </c>
    </row>
    <row r="599" spans="1:9" ht="42.75" customHeight="1" hidden="1">
      <c r="A599" s="29" t="s">
        <v>535</v>
      </c>
      <c r="B599" s="32" t="s">
        <v>350</v>
      </c>
      <c r="C599" s="54" t="s">
        <v>130</v>
      </c>
      <c r="D599" s="54" t="s">
        <v>114</v>
      </c>
      <c r="E599" s="54" t="s">
        <v>654</v>
      </c>
      <c r="F599" s="54" t="s">
        <v>175</v>
      </c>
      <c r="G599" s="312">
        <f>I599</f>
        <v>0</v>
      </c>
      <c r="H599" s="107"/>
      <c r="I599" s="329" t="e">
        <f t="shared" si="32"/>
        <v>#DIV/0!</v>
      </c>
    </row>
    <row r="600" spans="1:9" ht="18" customHeight="1" hidden="1">
      <c r="A600" s="29" t="s">
        <v>142</v>
      </c>
      <c r="B600" s="32" t="s">
        <v>350</v>
      </c>
      <c r="C600" s="54" t="s">
        <v>130</v>
      </c>
      <c r="D600" s="54" t="s">
        <v>114</v>
      </c>
      <c r="E600" s="54" t="s">
        <v>654</v>
      </c>
      <c r="F600" s="54" t="s">
        <v>240</v>
      </c>
      <c r="G600" s="312" t="e">
        <f>I600</f>
        <v>#DIV/0!</v>
      </c>
      <c r="H600" s="107"/>
      <c r="I600" s="329" t="e">
        <f t="shared" si="32"/>
        <v>#DIV/0!</v>
      </c>
    </row>
    <row r="601" spans="1:9" ht="69.75" customHeight="1" hidden="1">
      <c r="A601" s="76" t="s">
        <v>679</v>
      </c>
      <c r="B601" s="32" t="s">
        <v>350</v>
      </c>
      <c r="C601" s="80" t="s">
        <v>130</v>
      </c>
      <c r="D601" s="80" t="s">
        <v>114</v>
      </c>
      <c r="E601" s="54" t="s">
        <v>656</v>
      </c>
      <c r="F601" s="54" t="s">
        <v>347</v>
      </c>
      <c r="G601" s="316">
        <f>H601</f>
        <v>0</v>
      </c>
      <c r="H601" s="115">
        <f>H602</f>
        <v>0</v>
      </c>
      <c r="I601" s="329" t="e">
        <f t="shared" si="32"/>
        <v>#DIV/0!</v>
      </c>
    </row>
    <row r="602" spans="1:9" ht="43.5" customHeight="1" hidden="1">
      <c r="A602" s="29" t="s">
        <v>535</v>
      </c>
      <c r="B602" s="32" t="s">
        <v>350</v>
      </c>
      <c r="C602" s="54" t="s">
        <v>130</v>
      </c>
      <c r="D602" s="54" t="s">
        <v>114</v>
      </c>
      <c r="E602" s="54" t="s">
        <v>656</v>
      </c>
      <c r="F602" s="54" t="s">
        <v>175</v>
      </c>
      <c r="G602" s="312">
        <f>H602</f>
        <v>0</v>
      </c>
      <c r="H602" s="107">
        <f>H603</f>
        <v>0</v>
      </c>
      <c r="I602" s="329" t="e">
        <f t="shared" si="32"/>
        <v>#DIV/0!</v>
      </c>
    </row>
    <row r="603" spans="1:9" ht="16.5" customHeight="1" hidden="1">
      <c r="A603" s="29" t="s">
        <v>142</v>
      </c>
      <c r="B603" s="32" t="s">
        <v>350</v>
      </c>
      <c r="C603" s="54" t="s">
        <v>130</v>
      </c>
      <c r="D603" s="54" t="s">
        <v>114</v>
      </c>
      <c r="E603" s="54" t="s">
        <v>656</v>
      </c>
      <c r="F603" s="54" t="s">
        <v>240</v>
      </c>
      <c r="G603" s="312">
        <f>H603</f>
        <v>0</v>
      </c>
      <c r="H603" s="107">
        <f>1.57576-1.57576</f>
        <v>0</v>
      </c>
      <c r="I603" s="329" t="e">
        <f t="shared" si="32"/>
        <v>#DIV/0!</v>
      </c>
    </row>
    <row r="604" spans="1:9" ht="44.25" customHeight="1">
      <c r="A604" s="106" t="s">
        <v>507</v>
      </c>
      <c r="B604" s="96" t="s">
        <v>350</v>
      </c>
      <c r="C604" s="92" t="s">
        <v>130</v>
      </c>
      <c r="D604" s="92" t="s">
        <v>114</v>
      </c>
      <c r="E604" s="92" t="s">
        <v>85</v>
      </c>
      <c r="F604" s="92" t="s">
        <v>347</v>
      </c>
      <c r="G604" s="320">
        <f>G605+G608</f>
        <v>3048.9368999999997</v>
      </c>
      <c r="H604" s="320">
        <f>H605+H608</f>
        <v>3048.9368999999997</v>
      </c>
      <c r="I604" s="329">
        <f t="shared" si="32"/>
        <v>100</v>
      </c>
    </row>
    <row r="605" spans="1:9" ht="86.25" customHeight="1">
      <c r="A605" s="76" t="s">
        <v>509</v>
      </c>
      <c r="B605" s="97" t="s">
        <v>350</v>
      </c>
      <c r="C605" s="80" t="s">
        <v>130</v>
      </c>
      <c r="D605" s="80" t="s">
        <v>114</v>
      </c>
      <c r="E605" s="80" t="s">
        <v>540</v>
      </c>
      <c r="F605" s="80" t="s">
        <v>347</v>
      </c>
      <c r="G605" s="316">
        <f>G606</f>
        <v>3033.69222</v>
      </c>
      <c r="H605" s="316">
        <f>H606</f>
        <v>3033.69222</v>
      </c>
      <c r="I605" s="329">
        <f t="shared" si="32"/>
        <v>100</v>
      </c>
    </row>
    <row r="606" spans="1:9" ht="43.5" customHeight="1">
      <c r="A606" s="29" t="s">
        <v>535</v>
      </c>
      <c r="B606" s="32" t="s">
        <v>350</v>
      </c>
      <c r="C606" s="54" t="s">
        <v>130</v>
      </c>
      <c r="D606" s="54" t="s">
        <v>114</v>
      </c>
      <c r="E606" s="54" t="s">
        <v>540</v>
      </c>
      <c r="F606" s="54" t="s">
        <v>175</v>
      </c>
      <c r="G606" s="312">
        <f>G607</f>
        <v>3033.69222</v>
      </c>
      <c r="H606" s="312">
        <f>H607</f>
        <v>3033.69222</v>
      </c>
      <c r="I606" s="329">
        <f t="shared" si="32"/>
        <v>100</v>
      </c>
    </row>
    <row r="607" spans="1:9" ht="20.25" customHeight="1">
      <c r="A607" s="29" t="s">
        <v>142</v>
      </c>
      <c r="B607" s="32" t="s">
        <v>350</v>
      </c>
      <c r="C607" s="54" t="s">
        <v>130</v>
      </c>
      <c r="D607" s="54" t="s">
        <v>114</v>
      </c>
      <c r="E607" s="54" t="s">
        <v>540</v>
      </c>
      <c r="F607" s="54" t="s">
        <v>240</v>
      </c>
      <c r="G607" s="312">
        <v>3033.69222</v>
      </c>
      <c r="H607" s="107">
        <v>3033.69222</v>
      </c>
      <c r="I607" s="329">
        <f t="shared" si="32"/>
        <v>100</v>
      </c>
    </row>
    <row r="608" spans="1:9" ht="116.25" customHeight="1">
      <c r="A608" s="76" t="s">
        <v>510</v>
      </c>
      <c r="B608" s="97" t="s">
        <v>350</v>
      </c>
      <c r="C608" s="80" t="s">
        <v>130</v>
      </c>
      <c r="D608" s="80" t="s">
        <v>114</v>
      </c>
      <c r="E608" s="80" t="s">
        <v>539</v>
      </c>
      <c r="F608" s="80" t="s">
        <v>347</v>
      </c>
      <c r="G608" s="316">
        <f>G609</f>
        <v>15.24468</v>
      </c>
      <c r="H608" s="316">
        <f>H609</f>
        <v>15.24468</v>
      </c>
      <c r="I608" s="329">
        <f t="shared" si="32"/>
        <v>100</v>
      </c>
    </row>
    <row r="609" spans="1:9" ht="42" customHeight="1">
      <c r="A609" s="29" t="s">
        <v>535</v>
      </c>
      <c r="B609" s="32" t="s">
        <v>350</v>
      </c>
      <c r="C609" s="54" t="s">
        <v>130</v>
      </c>
      <c r="D609" s="54" t="s">
        <v>114</v>
      </c>
      <c r="E609" s="54" t="s">
        <v>539</v>
      </c>
      <c r="F609" s="54" t="s">
        <v>175</v>
      </c>
      <c r="G609" s="312">
        <f>G610</f>
        <v>15.24468</v>
      </c>
      <c r="H609" s="312">
        <f>H610</f>
        <v>15.24468</v>
      </c>
      <c r="I609" s="329">
        <f t="shared" si="32"/>
        <v>100</v>
      </c>
    </row>
    <row r="610" spans="1:9" ht="23.25" customHeight="1">
      <c r="A610" s="29" t="s">
        <v>142</v>
      </c>
      <c r="B610" s="32" t="s">
        <v>350</v>
      </c>
      <c r="C610" s="54" t="s">
        <v>130</v>
      </c>
      <c r="D610" s="54" t="s">
        <v>114</v>
      </c>
      <c r="E610" s="54" t="s">
        <v>539</v>
      </c>
      <c r="F610" s="54" t="s">
        <v>240</v>
      </c>
      <c r="G610" s="312">
        <v>15.24468</v>
      </c>
      <c r="H610" s="107">
        <v>15.24468</v>
      </c>
      <c r="I610" s="329">
        <f t="shared" si="32"/>
        <v>100</v>
      </c>
    </row>
    <row r="611" spans="1:9" ht="42.75">
      <c r="A611" s="373" t="s">
        <v>104</v>
      </c>
      <c r="B611" s="374" t="s">
        <v>349</v>
      </c>
      <c r="C611" s="374" t="s">
        <v>113</v>
      </c>
      <c r="D611" s="374" t="s">
        <v>113</v>
      </c>
      <c r="E611" s="374" t="s">
        <v>262</v>
      </c>
      <c r="F611" s="374" t="s">
        <v>347</v>
      </c>
      <c r="G611" s="375">
        <f aca="true" t="shared" si="36" ref="G611:H613">G612</f>
        <v>1336.8</v>
      </c>
      <c r="H611" s="375">
        <f t="shared" si="36"/>
        <v>1317.9704700000002</v>
      </c>
      <c r="I611" s="376">
        <f>H611/G611*100</f>
        <v>98.59144748653503</v>
      </c>
    </row>
    <row r="612" spans="1:9" ht="60">
      <c r="A612" s="345" t="s">
        <v>336</v>
      </c>
      <c r="B612" s="104" t="s">
        <v>349</v>
      </c>
      <c r="C612" s="54" t="s">
        <v>112</v>
      </c>
      <c r="D612" s="54" t="s">
        <v>125</v>
      </c>
      <c r="E612" s="54" t="s">
        <v>262</v>
      </c>
      <c r="F612" s="54" t="s">
        <v>347</v>
      </c>
      <c r="G612" s="107">
        <f t="shared" si="36"/>
        <v>1336.8</v>
      </c>
      <c r="H612" s="107">
        <f t="shared" si="36"/>
        <v>1317.9704700000002</v>
      </c>
      <c r="I612" s="329">
        <f t="shared" si="32"/>
        <v>98.59144748653503</v>
      </c>
    </row>
    <row r="613" spans="1:9" ht="30">
      <c r="A613" s="345" t="s">
        <v>126</v>
      </c>
      <c r="B613" s="104" t="s">
        <v>349</v>
      </c>
      <c r="C613" s="54" t="s">
        <v>112</v>
      </c>
      <c r="D613" s="54" t="s">
        <v>125</v>
      </c>
      <c r="E613" s="54" t="s">
        <v>7</v>
      </c>
      <c r="F613" s="54" t="s">
        <v>347</v>
      </c>
      <c r="G613" s="107">
        <f t="shared" si="36"/>
        <v>1336.8</v>
      </c>
      <c r="H613" s="107">
        <f t="shared" si="36"/>
        <v>1317.9704700000002</v>
      </c>
      <c r="I613" s="329">
        <f t="shared" si="32"/>
        <v>98.59144748653503</v>
      </c>
    </row>
    <row r="614" spans="1:9" ht="45">
      <c r="A614" s="29" t="s">
        <v>127</v>
      </c>
      <c r="B614" s="104" t="s">
        <v>349</v>
      </c>
      <c r="C614" s="54" t="s">
        <v>112</v>
      </c>
      <c r="D614" s="54" t="s">
        <v>125</v>
      </c>
      <c r="E614" s="54" t="s">
        <v>8</v>
      </c>
      <c r="F614" s="54" t="s">
        <v>347</v>
      </c>
      <c r="G614" s="107">
        <f>G615+G617+G619</f>
        <v>1336.8</v>
      </c>
      <c r="H614" s="107">
        <f>H615+H617+H619</f>
        <v>1317.9704700000002</v>
      </c>
      <c r="I614" s="329">
        <f t="shared" si="32"/>
        <v>98.59144748653503</v>
      </c>
    </row>
    <row r="615" spans="1:9" ht="30">
      <c r="A615" s="29" t="s">
        <v>151</v>
      </c>
      <c r="B615" s="104" t="s">
        <v>349</v>
      </c>
      <c r="C615" s="54" t="s">
        <v>112</v>
      </c>
      <c r="D615" s="54" t="s">
        <v>125</v>
      </c>
      <c r="E615" s="54" t="s">
        <v>11</v>
      </c>
      <c r="F615" s="54" t="s">
        <v>121</v>
      </c>
      <c r="G615" s="107">
        <f>G616</f>
        <v>60.6</v>
      </c>
      <c r="H615" s="107">
        <f>H616</f>
        <v>57.25172</v>
      </c>
      <c r="I615" s="329">
        <f t="shared" si="32"/>
        <v>94.47478547854786</v>
      </c>
    </row>
    <row r="616" spans="1:9" ht="45">
      <c r="A616" s="29" t="s">
        <v>152</v>
      </c>
      <c r="B616" s="104" t="s">
        <v>349</v>
      </c>
      <c r="C616" s="54" t="s">
        <v>112</v>
      </c>
      <c r="D616" s="54" t="s">
        <v>125</v>
      </c>
      <c r="E616" s="54" t="s">
        <v>11</v>
      </c>
      <c r="F616" s="54" t="s">
        <v>153</v>
      </c>
      <c r="G616" s="107">
        <v>60.6</v>
      </c>
      <c r="H616" s="107">
        <v>57.25172</v>
      </c>
      <c r="I616" s="329">
        <f t="shared" si="32"/>
        <v>94.47478547854786</v>
      </c>
    </row>
    <row r="617" spans="1:9" ht="15">
      <c r="A617" s="29" t="s">
        <v>156</v>
      </c>
      <c r="B617" s="104" t="s">
        <v>349</v>
      </c>
      <c r="C617" s="54" t="s">
        <v>112</v>
      </c>
      <c r="D617" s="54" t="s">
        <v>125</v>
      </c>
      <c r="E617" s="54" t="s">
        <v>11</v>
      </c>
      <c r="F617" s="54" t="s">
        <v>157</v>
      </c>
      <c r="G617" s="107">
        <f>G618</f>
        <v>2</v>
      </c>
      <c r="H617" s="107">
        <f>H618</f>
        <v>0.0035499999999999998</v>
      </c>
      <c r="I617" s="329">
        <f t="shared" si="32"/>
        <v>0.1775</v>
      </c>
    </row>
    <row r="618" spans="1:9" ht="15">
      <c r="A618" s="29" t="s">
        <v>154</v>
      </c>
      <c r="B618" s="104" t="s">
        <v>349</v>
      </c>
      <c r="C618" s="54" t="s">
        <v>112</v>
      </c>
      <c r="D618" s="54" t="s">
        <v>125</v>
      </c>
      <c r="E618" s="54" t="s">
        <v>11</v>
      </c>
      <c r="F618" s="54" t="s">
        <v>155</v>
      </c>
      <c r="G618" s="107">
        <v>2</v>
      </c>
      <c r="H618" s="107">
        <f>3.55/1000</f>
        <v>0.0035499999999999998</v>
      </c>
      <c r="I618" s="329">
        <f t="shared" si="32"/>
        <v>0.1775</v>
      </c>
    </row>
    <row r="619" spans="1:9" ht="30">
      <c r="A619" s="75" t="s">
        <v>128</v>
      </c>
      <c r="B619" s="362" t="s">
        <v>349</v>
      </c>
      <c r="C619" s="80" t="s">
        <v>112</v>
      </c>
      <c r="D619" s="80" t="s">
        <v>125</v>
      </c>
      <c r="E619" s="80" t="s">
        <v>12</v>
      </c>
      <c r="F619" s="80" t="s">
        <v>347</v>
      </c>
      <c r="G619" s="115">
        <f>G620</f>
        <v>1274.2</v>
      </c>
      <c r="H619" s="115">
        <f>H620</f>
        <v>1260.7152</v>
      </c>
      <c r="I619" s="329">
        <f t="shared" si="32"/>
        <v>98.94170459896407</v>
      </c>
    </row>
    <row r="620" spans="1:9" ht="95.25" customHeight="1">
      <c r="A620" s="29" t="s">
        <v>148</v>
      </c>
      <c r="B620" s="104" t="s">
        <v>349</v>
      </c>
      <c r="C620" s="54" t="s">
        <v>112</v>
      </c>
      <c r="D620" s="54" t="s">
        <v>125</v>
      </c>
      <c r="E620" s="54" t="s">
        <v>12</v>
      </c>
      <c r="F620" s="54" t="s">
        <v>117</v>
      </c>
      <c r="G620" s="107">
        <f>G621</f>
        <v>1274.2</v>
      </c>
      <c r="H620" s="107">
        <f>H621</f>
        <v>1260.7152</v>
      </c>
      <c r="I620" s="329">
        <f t="shared" si="32"/>
        <v>98.94170459896407</v>
      </c>
    </row>
    <row r="621" spans="1:9" ht="29.25" customHeight="1">
      <c r="A621" s="29" t="s">
        <v>150</v>
      </c>
      <c r="B621" s="104" t="s">
        <v>349</v>
      </c>
      <c r="C621" s="54" t="s">
        <v>112</v>
      </c>
      <c r="D621" s="54" t="s">
        <v>125</v>
      </c>
      <c r="E621" s="54" t="s">
        <v>12</v>
      </c>
      <c r="F621" s="54" t="s">
        <v>149</v>
      </c>
      <c r="G621" s="107">
        <v>1274.2</v>
      </c>
      <c r="H621" s="107">
        <v>1260.7152</v>
      </c>
      <c r="I621" s="329">
        <f t="shared" si="32"/>
        <v>98.94170459896407</v>
      </c>
    </row>
    <row r="622" spans="1:9" s="323" customFormat="1" ht="14.25">
      <c r="A622" s="367" t="s">
        <v>105</v>
      </c>
      <c r="B622" s="368"/>
      <c r="C622" s="368"/>
      <c r="D622" s="368"/>
      <c r="E622" s="368"/>
      <c r="F622" s="368"/>
      <c r="G622" s="310">
        <f>G12+G413+G427+G467+G611</f>
        <v>758159.25033</v>
      </c>
      <c r="H622" s="310">
        <f>H12+H413+H427+H467+H611</f>
        <v>693486.42815</v>
      </c>
      <c r="I622" s="377">
        <f t="shared" si="32"/>
        <v>91.46975755399012</v>
      </c>
    </row>
    <row r="623" spans="7:9" ht="15">
      <c r="G623" s="53">
        <v>758159.25033</v>
      </c>
      <c r="H623" s="41">
        <v>693486.42815</v>
      </c>
      <c r="I623" s="378"/>
    </row>
    <row r="624" spans="7:8" ht="15">
      <c r="G624" s="343">
        <f>G623-G622</f>
        <v>0</v>
      </c>
      <c r="H624" s="324">
        <f>H623-H622</f>
        <v>0</v>
      </c>
    </row>
    <row r="625" spans="7:8" ht="15">
      <c r="G625" s="343"/>
      <c r="H625" s="324"/>
    </row>
    <row r="626" spans="7:8" ht="15">
      <c r="G626" s="343"/>
      <c r="H626" s="324"/>
    </row>
    <row r="627" spans="5:8" ht="15">
      <c r="E627" s="325"/>
      <c r="G627" s="326"/>
      <c r="H627" s="324"/>
    </row>
    <row r="628" ht="15">
      <c r="G628" s="369"/>
    </row>
  </sheetData>
  <sheetProtection/>
  <mergeCells count="17">
    <mergeCell ref="G1:I1"/>
    <mergeCell ref="F2:I2"/>
    <mergeCell ref="B3:F3"/>
    <mergeCell ref="G3:I3"/>
    <mergeCell ref="G10:G11"/>
    <mergeCell ref="H10:H11"/>
    <mergeCell ref="I10:I11"/>
    <mergeCell ref="B4:F4"/>
    <mergeCell ref="G4:I4"/>
    <mergeCell ref="A6:I6"/>
    <mergeCell ref="A7:I7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User</cp:lastModifiedBy>
  <cp:lastPrinted>2021-05-27T22:39:45Z</cp:lastPrinted>
  <dcterms:created xsi:type="dcterms:W3CDTF">2008-10-27T01:25:53Z</dcterms:created>
  <dcterms:modified xsi:type="dcterms:W3CDTF">2021-05-27T22:39:54Z</dcterms:modified>
  <cp:category/>
  <cp:version/>
  <cp:contentType/>
  <cp:contentStatus/>
</cp:coreProperties>
</file>